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Notes" sheetId="1" r:id="rId1"/>
    <sheet name="NGCC treatment (Slide 4)" sheetId="12" r:id="rId2"/>
    <sheet name="UTO Treatment (Slide 5)" sheetId="13" r:id="rId3"/>
    <sheet name="Base Year Summary (slides 9)" sheetId="11" r:id="rId4"/>
    <sheet name="Base Year Goal (Slide 10)" sheetId="10" r:id="rId5"/>
    <sheet name="RE Growth Rate (Slide 19) " sheetId="14" r:id="rId6"/>
    <sheet name="RE Building Block 3 (Slide 19)" sheetId="15" r:id="rId7"/>
    <sheet name="eGrid Methodology 2009 ADEQ" sheetId="3" r:id="rId8"/>
    <sheet name="eGRID Methodology 2010 ADEQ" sheetId="4" r:id="rId9"/>
    <sheet name="eGRID methodology 2011 ADEQ" sheetId="5" r:id="rId10"/>
    <sheet name="eGRID methodology 2012 ADEQ" sheetId="6" r:id="rId11"/>
    <sheet name="Prime-mover Specific 2012 ADEQ" sheetId="7" r:id="rId12"/>
    <sheet name="eGRID Methodology 2013 ADEQ" sheetId="8" r:id="rId13"/>
  </sheets>
  <externalReferences>
    <externalReference r:id="rId14"/>
  </externalReferences>
  <definedNames>
    <definedName name="_xlnm._FilterDatabase" localSheetId="6" hidden="1">'RE Building Block 3 (Slide 19)'!#REF!</definedName>
    <definedName name="Net_Generation_by_State__Type_1" localSheetId="4">#REF!</definedName>
    <definedName name="Net_Generation_by_State__Type_1" localSheetId="3">#REF!</definedName>
    <definedName name="Net_Generation_by_State__Type_1">#REF!</definedName>
    <definedName name="ppmbtu">[1]Factors!$A$33</definedName>
    <definedName name="ppmbtulhv">[1]Factors!$A$32</definedName>
    <definedName name="_xlnm.Print_Area" localSheetId="0">Notes!$A$1:$I$32</definedName>
  </definedNames>
  <calcPr calcId="145621"/>
</workbook>
</file>

<file path=xl/calcChain.xml><?xml version="1.0" encoding="utf-8"?>
<calcChain xmlns="http://schemas.openxmlformats.org/spreadsheetml/2006/main">
  <c r="K25" i="14" l="1"/>
  <c r="K26" i="14"/>
  <c r="K27" i="14"/>
  <c r="K28" i="14"/>
  <c r="K29" i="14"/>
  <c r="K30" i="14"/>
  <c r="K31" i="14"/>
  <c r="K32" i="14"/>
  <c r="K33" i="14"/>
  <c r="K24" i="14"/>
  <c r="K13" i="14"/>
  <c r="K14" i="14"/>
  <c r="K15" i="14"/>
  <c r="K16" i="14"/>
  <c r="K17" i="14"/>
  <c r="K18" i="14"/>
  <c r="K19" i="14"/>
  <c r="K20" i="14"/>
  <c r="K12" i="14"/>
  <c r="K4" i="14"/>
  <c r="K5" i="14"/>
  <c r="K6" i="14"/>
  <c r="K7" i="14"/>
  <c r="K8" i="14"/>
  <c r="K3" i="14"/>
  <c r="J25" i="14"/>
  <c r="J26" i="14"/>
  <c r="J27" i="14"/>
  <c r="J28" i="14"/>
  <c r="J29" i="14"/>
  <c r="J30" i="14"/>
  <c r="J31" i="14"/>
  <c r="J32" i="14"/>
  <c r="J33" i="14"/>
  <c r="J24" i="14"/>
  <c r="J13" i="14"/>
  <c r="J14" i="14"/>
  <c r="J15" i="14"/>
  <c r="J16" i="14"/>
  <c r="J17" i="14"/>
  <c r="J18" i="14"/>
  <c r="J19" i="14"/>
  <c r="J20" i="14"/>
  <c r="J12" i="14"/>
  <c r="J4" i="14"/>
  <c r="J5" i="14"/>
  <c r="J6" i="14"/>
  <c r="J7" i="14"/>
  <c r="J8" i="14"/>
  <c r="J3" i="14"/>
  <c r="C12" i="13"/>
  <c r="B12" i="13"/>
  <c r="C11" i="13"/>
  <c r="C4" i="13"/>
  <c r="C10" i="13" s="1"/>
  <c r="D4" i="13"/>
  <c r="H4" i="13"/>
  <c r="K4" i="13"/>
  <c r="T4" i="13"/>
  <c r="U4" i="13"/>
  <c r="V4" i="13"/>
  <c r="W4" i="13"/>
  <c r="X4" i="13"/>
  <c r="Y4" i="13"/>
  <c r="Z4" i="13"/>
  <c r="AA4" i="13"/>
  <c r="AB4" i="13"/>
  <c r="AC4" i="13"/>
  <c r="AD4" i="13"/>
  <c r="AE4" i="13"/>
  <c r="AF4" i="13"/>
  <c r="AG4" i="13"/>
  <c r="AH4" i="13"/>
  <c r="AI4" i="13"/>
  <c r="AJ4" i="13"/>
  <c r="AK4" i="13"/>
  <c r="AL4" i="13"/>
  <c r="AM4" i="13"/>
  <c r="AN4" i="13"/>
  <c r="AO4" i="13"/>
  <c r="AP4" i="13"/>
  <c r="Q3" i="13"/>
  <c r="J3" i="13"/>
  <c r="J4" i="13" s="1"/>
  <c r="I3" i="13"/>
  <c r="B11" i="13" s="1"/>
  <c r="H3" i="13"/>
  <c r="G3" i="13"/>
  <c r="F3" i="13"/>
  <c r="F4" i="13" s="1"/>
  <c r="E3" i="13"/>
  <c r="D3" i="13"/>
  <c r="C3" i="13"/>
  <c r="B10" i="13" s="1"/>
  <c r="B3" i="13"/>
  <c r="L3" i="13" s="1"/>
  <c r="L4" i="13" s="1"/>
  <c r="C10" i="12"/>
  <c r="B10" i="12"/>
  <c r="C14" i="12"/>
  <c r="B14" i="12"/>
  <c r="C13" i="12"/>
  <c r="C12" i="12"/>
  <c r="B13" i="12"/>
  <c r="B12" i="12"/>
  <c r="C11" i="12"/>
  <c r="B11" i="12"/>
  <c r="R4" i="12"/>
  <c r="P4" i="12"/>
  <c r="Q4" i="12"/>
  <c r="O4" i="12"/>
  <c r="S4" i="12" s="1"/>
  <c r="P3" i="13" l="1"/>
  <c r="O3" i="13"/>
  <c r="R3" i="13"/>
  <c r="R4" i="13" s="1"/>
  <c r="B4" i="13"/>
  <c r="G4" i="13"/>
  <c r="S3" i="13" l="1"/>
  <c r="S4" i="13" s="1"/>
  <c r="M3" i="13"/>
  <c r="O4" i="13"/>
  <c r="N3" i="13"/>
  <c r="N4" i="13" s="1"/>
  <c r="M4" i="13" l="1"/>
  <c r="AZ3" i="13"/>
  <c r="BB3" i="13" s="1"/>
  <c r="B13" i="13" s="1"/>
  <c r="AR3" i="13"/>
  <c r="AX3" i="13"/>
  <c r="AW3" i="13"/>
  <c r="AY3" i="13"/>
  <c r="AT3" i="13"/>
  <c r="AQ3" i="13"/>
  <c r="AS3" i="13"/>
  <c r="AV3" i="13"/>
  <c r="AU3" i="13"/>
  <c r="BA3" i="13" l="1"/>
  <c r="AW4" i="13"/>
  <c r="AX4" i="13"/>
  <c r="AQ4" i="13"/>
  <c r="AY4" i="13"/>
  <c r="AR4" i="13"/>
  <c r="AT4" i="13"/>
  <c r="AZ4" i="13"/>
  <c r="BB4" i="13" s="1"/>
  <c r="C13" i="13" s="1"/>
  <c r="AU4" i="13"/>
  <c r="AS4" i="13"/>
  <c r="AV4" i="13"/>
  <c r="BA4" i="13" l="1"/>
  <c r="E4" i="12" l="1"/>
  <c r="I4" i="12"/>
  <c r="H4" i="12"/>
  <c r="G4" i="12"/>
  <c r="F4" i="12"/>
  <c r="D4" i="12"/>
  <c r="C4" i="12"/>
  <c r="B4" i="12"/>
  <c r="L4" i="12" s="1"/>
  <c r="J3" i="12"/>
  <c r="J4" i="12" s="1"/>
  <c r="I3" i="12"/>
  <c r="Q3" i="12" s="1"/>
  <c r="H3" i="12"/>
  <c r="G3" i="12"/>
  <c r="R3" i="12" s="1"/>
  <c r="F3" i="12"/>
  <c r="E3" i="12"/>
  <c r="D3" i="12"/>
  <c r="C3" i="12"/>
  <c r="B3" i="12"/>
  <c r="L3" i="12" s="1"/>
  <c r="P3" i="12" l="1"/>
  <c r="O3" i="12"/>
  <c r="M4" i="12"/>
  <c r="N4" i="12"/>
  <c r="K3" i="15"/>
  <c r="K4" i="15"/>
  <c r="K5" i="15"/>
  <c r="J4" i="15"/>
  <c r="C10" i="15" s="1"/>
  <c r="D10" i="15" s="1"/>
  <c r="E10" i="15" s="1"/>
  <c r="F10" i="15" s="1"/>
  <c r="G10" i="15" s="1"/>
  <c r="H10" i="15" s="1"/>
  <c r="I10" i="15" s="1"/>
  <c r="J10" i="15" s="1"/>
  <c r="K10" i="15" s="1"/>
  <c r="L10" i="15" s="1"/>
  <c r="M10" i="15" s="1"/>
  <c r="N10" i="15" s="1"/>
  <c r="O10" i="15" s="1"/>
  <c r="B9" i="15"/>
  <c r="B10" i="15"/>
  <c r="B11" i="15"/>
  <c r="D5" i="15"/>
  <c r="L33" i="14"/>
  <c r="I33" i="14"/>
  <c r="L32" i="14"/>
  <c r="I32" i="14"/>
  <c r="L31" i="14"/>
  <c r="I31" i="14"/>
  <c r="L30" i="14"/>
  <c r="I30" i="14"/>
  <c r="L29" i="14"/>
  <c r="I29" i="14"/>
  <c r="L28" i="14"/>
  <c r="I28" i="14"/>
  <c r="L27" i="14"/>
  <c r="I27" i="14"/>
  <c r="L26" i="14"/>
  <c r="I26" i="14"/>
  <c r="L25" i="14"/>
  <c r="J5" i="15" s="1"/>
  <c r="C11" i="15" s="1"/>
  <c r="D11" i="15" s="1"/>
  <c r="E11" i="15" s="1"/>
  <c r="F11" i="15" s="1"/>
  <c r="G11" i="15" s="1"/>
  <c r="H11" i="15" s="1"/>
  <c r="I11" i="15" s="1"/>
  <c r="J11" i="15" s="1"/>
  <c r="K11" i="15" s="1"/>
  <c r="L11" i="15" s="1"/>
  <c r="M11" i="15" s="1"/>
  <c r="N11" i="15" s="1"/>
  <c r="O11" i="15" s="1"/>
  <c r="I25" i="14"/>
  <c r="L24" i="14" s="1"/>
  <c r="I24" i="14"/>
  <c r="L20" i="14"/>
  <c r="I20" i="14"/>
  <c r="L19" i="14"/>
  <c r="I19" i="14"/>
  <c r="L18" i="14"/>
  <c r="I18" i="14"/>
  <c r="L17" i="14"/>
  <c r="I17" i="14"/>
  <c r="L16" i="14"/>
  <c r="I16" i="14"/>
  <c r="L15" i="14"/>
  <c r="I15" i="14"/>
  <c r="L14" i="14"/>
  <c r="I14" i="14"/>
  <c r="L13" i="14"/>
  <c r="I13" i="14"/>
  <c r="I12" i="14"/>
  <c r="L12" i="14" s="1"/>
  <c r="L8" i="14"/>
  <c r="I8" i="14"/>
  <c r="L7" i="14"/>
  <c r="I7" i="14"/>
  <c r="L6" i="14"/>
  <c r="I6" i="14"/>
  <c r="L5" i="14"/>
  <c r="I5" i="14"/>
  <c r="L3" i="14" s="1"/>
  <c r="J3" i="15" s="1"/>
  <c r="L4" i="14"/>
  <c r="I4" i="14"/>
  <c r="I3" i="14"/>
  <c r="AW4" i="12" l="1"/>
  <c r="AT4" i="12"/>
  <c r="S3" i="12"/>
  <c r="M3" i="12"/>
  <c r="N3" i="12"/>
  <c r="AU4" i="12"/>
  <c r="AX4" i="12"/>
  <c r="AV4" i="12"/>
  <c r="AR4" i="12"/>
  <c r="AY4" i="12"/>
  <c r="AZ4" i="12"/>
  <c r="BB4" i="12" s="1"/>
  <c r="AS4" i="12"/>
  <c r="AQ4" i="12"/>
  <c r="C9" i="15"/>
  <c r="D9" i="15" s="1"/>
  <c r="E9" i="15" s="1"/>
  <c r="F9" i="15" s="1"/>
  <c r="G9" i="15" s="1"/>
  <c r="H9" i="15" s="1"/>
  <c r="I9" i="15" s="1"/>
  <c r="J9" i="15" s="1"/>
  <c r="K9" i="15" s="1"/>
  <c r="L9" i="15" s="1"/>
  <c r="M9" i="15" s="1"/>
  <c r="N9" i="15" s="1"/>
  <c r="O9" i="15" s="1"/>
  <c r="AQ3" i="12" l="1"/>
  <c r="AX3" i="12"/>
  <c r="AV3" i="12"/>
  <c r="AW3" i="12"/>
  <c r="AU3" i="12"/>
  <c r="AZ3" i="12"/>
  <c r="BB3" i="12" s="1"/>
  <c r="AT3" i="12"/>
  <c r="AR3" i="12"/>
  <c r="AS3" i="12"/>
  <c r="AY3" i="12"/>
  <c r="BA4" i="12"/>
  <c r="J5" i="10"/>
  <c r="J4" i="10"/>
  <c r="J3" i="10"/>
  <c r="O3" i="10" s="1"/>
  <c r="S3" i="10" s="1"/>
  <c r="I5" i="10"/>
  <c r="I3" i="10"/>
  <c r="H5" i="10"/>
  <c r="H3" i="10"/>
  <c r="G5" i="10"/>
  <c r="Q3" i="10"/>
  <c r="Q5" i="10"/>
  <c r="G3" i="10"/>
  <c r="F5" i="10"/>
  <c r="F3" i="10"/>
  <c r="E5" i="10"/>
  <c r="E3" i="10"/>
  <c r="D5" i="10"/>
  <c r="D3" i="10"/>
  <c r="C5" i="10"/>
  <c r="C3" i="10"/>
  <c r="B5" i="10"/>
  <c r="B3" i="10"/>
  <c r="F20" i="11"/>
  <c r="F19" i="11"/>
  <c r="F18" i="11"/>
  <c r="F7" i="11"/>
  <c r="F14" i="11"/>
  <c r="F13" i="11"/>
  <c r="F12" i="11"/>
  <c r="F11" i="11"/>
  <c r="F6" i="11"/>
  <c r="F5" i="11"/>
  <c r="F4" i="11"/>
  <c r="F26" i="11"/>
  <c r="E20" i="11"/>
  <c r="E19" i="11"/>
  <c r="E18" i="11"/>
  <c r="E14" i="11"/>
  <c r="E13" i="11"/>
  <c r="E12" i="11"/>
  <c r="E11" i="11"/>
  <c r="E7" i="11"/>
  <c r="E6" i="11"/>
  <c r="E5" i="11"/>
  <c r="E4" i="11"/>
  <c r="D12" i="11"/>
  <c r="D11" i="11"/>
  <c r="D6" i="11"/>
  <c r="D5" i="11"/>
  <c r="D4" i="11"/>
  <c r="C13" i="11"/>
  <c r="C12" i="11"/>
  <c r="C11" i="11"/>
  <c r="C6" i="11"/>
  <c r="C5" i="11"/>
  <c r="C4" i="11"/>
  <c r="B12" i="11"/>
  <c r="B11" i="11"/>
  <c r="B6" i="11"/>
  <c r="B5" i="11"/>
  <c r="B4" i="11"/>
  <c r="E25" i="11"/>
  <c r="O5" i="10"/>
  <c r="S5" i="10" s="1"/>
  <c r="R5" i="10"/>
  <c r="O4" i="10"/>
  <c r="S4" i="10" s="1"/>
  <c r="K28" i="6"/>
  <c r="K27" i="6"/>
  <c r="L49" i="6"/>
  <c r="L50" i="6"/>
  <c r="L51" i="6"/>
  <c r="L52" i="6"/>
  <c r="L53" i="6"/>
  <c r="L54" i="6"/>
  <c r="L55" i="6"/>
  <c r="L42" i="6"/>
  <c r="L43" i="6"/>
  <c r="L44" i="6"/>
  <c r="L45" i="6"/>
  <c r="L46" i="6"/>
  <c r="L47" i="6"/>
  <c r="L4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BA3" i="12" l="1"/>
  <c r="R3" i="10"/>
  <c r="B32" i="11"/>
  <c r="H4" i="10" s="1"/>
  <c r="B31" i="11"/>
  <c r="G4" i="10" s="1"/>
  <c r="R4" i="10" s="1"/>
  <c r="B30" i="11"/>
  <c r="F4" i="10" s="1"/>
  <c r="M4" i="10" s="1"/>
  <c r="F25" i="11"/>
  <c r="E24" i="11"/>
  <c r="F24" i="11"/>
  <c r="E26" i="11"/>
  <c r="D31" i="11"/>
  <c r="D30" i="11"/>
  <c r="P3" i="10"/>
  <c r="N5" i="10"/>
  <c r="B8" i="10"/>
  <c r="P5" i="10"/>
  <c r="N3" i="10"/>
  <c r="B10" i="10"/>
  <c r="M5" i="10"/>
  <c r="L3" i="10"/>
  <c r="L5" i="10"/>
  <c r="M3" i="10"/>
  <c r="L8" i="6"/>
  <c r="L7" i="6"/>
  <c r="L6" i="6"/>
  <c r="L5" i="6"/>
  <c r="L4" i="6"/>
  <c r="L3" i="6"/>
  <c r="L2" i="6"/>
  <c r="N4" i="10" l="1"/>
  <c r="D10" i="10"/>
  <c r="F8" i="10"/>
  <c r="G8" i="10"/>
  <c r="E8" i="10"/>
  <c r="D8" i="10"/>
  <c r="F10" i="10"/>
  <c r="G10" i="10"/>
  <c r="E10" i="10"/>
  <c r="AU5" i="10"/>
  <c r="AT5" i="10"/>
  <c r="AW5" i="10"/>
  <c r="AS5" i="10"/>
  <c r="AV5" i="10"/>
  <c r="C10" i="10"/>
  <c r="AZ5" i="10"/>
  <c r="BB5" i="10" s="1"/>
  <c r="AR5" i="10"/>
  <c r="AX5" i="10"/>
  <c r="AY5" i="10"/>
  <c r="AQ5" i="10"/>
  <c r="AU3" i="10"/>
  <c r="AT3" i="10"/>
  <c r="C8" i="10"/>
  <c r="AS3" i="10"/>
  <c r="AZ3" i="10"/>
  <c r="BB3" i="10" s="1"/>
  <c r="AR3" i="10"/>
  <c r="AX3" i="10"/>
  <c r="AY3" i="10"/>
  <c r="AQ3" i="10"/>
  <c r="AW3" i="10"/>
  <c r="AV3" i="10"/>
  <c r="K55" i="7"/>
  <c r="K54" i="7"/>
  <c r="K53" i="7"/>
  <c r="K52" i="7"/>
  <c r="K51" i="7"/>
  <c r="K50" i="7"/>
  <c r="K49" i="7"/>
  <c r="K48" i="7"/>
  <c r="K45" i="7"/>
  <c r="K44" i="7"/>
  <c r="K43" i="7"/>
  <c r="K42" i="7"/>
  <c r="K41" i="7"/>
  <c r="K40" i="7"/>
  <c r="K39" i="7"/>
  <c r="K38" i="7"/>
  <c r="K37" i="7"/>
  <c r="K36" i="7"/>
  <c r="K35" i="7"/>
  <c r="K34" i="7"/>
  <c r="K33" i="7"/>
  <c r="K32" i="7"/>
  <c r="K31" i="7"/>
  <c r="K30" i="7"/>
  <c r="K29" i="7"/>
  <c r="K28" i="7"/>
  <c r="J27" i="7"/>
  <c r="K27" i="7" s="1"/>
  <c r="K26" i="7"/>
  <c r="K25" i="7"/>
  <c r="K24" i="7"/>
  <c r="K23" i="7"/>
  <c r="K22" i="7"/>
  <c r="K21" i="7"/>
  <c r="K20" i="7"/>
  <c r="K19" i="7"/>
  <c r="K18" i="7"/>
  <c r="K17" i="7"/>
  <c r="K16" i="7"/>
  <c r="K15" i="7"/>
  <c r="K14" i="7"/>
  <c r="K13" i="7"/>
  <c r="K12" i="7"/>
  <c r="K11" i="7"/>
  <c r="K10" i="7"/>
  <c r="K9" i="7"/>
  <c r="K8" i="7"/>
  <c r="K7" i="7"/>
  <c r="K6" i="7"/>
  <c r="K5" i="7"/>
  <c r="K4" i="7"/>
  <c r="K3" i="7"/>
  <c r="K2" i="7"/>
  <c r="K55" i="8"/>
  <c r="K54" i="8"/>
  <c r="K53" i="8"/>
  <c r="K52" i="8"/>
  <c r="K51" i="8"/>
  <c r="K50" i="8"/>
  <c r="K49" i="8"/>
  <c r="K48" i="8"/>
  <c r="K45" i="8"/>
  <c r="K44" i="8"/>
  <c r="K43" i="8"/>
  <c r="K42" i="8"/>
  <c r="K41" i="8"/>
  <c r="K40" i="8"/>
  <c r="K39" i="8"/>
  <c r="K38" i="8"/>
  <c r="K37" i="8"/>
  <c r="K36" i="8"/>
  <c r="K35" i="8"/>
  <c r="K34" i="8"/>
  <c r="K33" i="8"/>
  <c r="K32" i="8"/>
  <c r="K31" i="8"/>
  <c r="K30" i="8"/>
  <c r="K29" i="8"/>
  <c r="J28" i="8"/>
  <c r="K28" i="8" s="1"/>
  <c r="J27" i="8"/>
  <c r="K27" i="8" s="1"/>
  <c r="K26" i="8"/>
  <c r="K25" i="8"/>
  <c r="K24" i="8"/>
  <c r="K23" i="8"/>
  <c r="K22" i="8"/>
  <c r="K21" i="8"/>
  <c r="K20" i="8"/>
  <c r="K19" i="8"/>
  <c r="K18" i="8"/>
  <c r="K17" i="8"/>
  <c r="K16" i="8"/>
  <c r="K15" i="8"/>
  <c r="K14" i="8"/>
  <c r="K13" i="8"/>
  <c r="K12" i="8"/>
  <c r="K11" i="8"/>
  <c r="K10" i="8"/>
  <c r="K9" i="8"/>
  <c r="K8" i="8"/>
  <c r="K7" i="8"/>
  <c r="K6" i="8"/>
  <c r="K5" i="8"/>
  <c r="K4" i="8"/>
  <c r="K3" i="8"/>
  <c r="K2" i="8"/>
  <c r="BA5" i="10" l="1"/>
  <c r="BA3" i="10"/>
  <c r="M54" i="5"/>
  <c r="D13" i="11" s="1"/>
  <c r="L54" i="5"/>
  <c r="L53" i="5"/>
  <c r="L52" i="5"/>
  <c r="L51" i="5"/>
  <c r="L50" i="5"/>
  <c r="L49" i="5"/>
  <c r="L48" i="5"/>
  <c r="L47" i="5"/>
  <c r="L46" i="5"/>
  <c r="L45" i="5"/>
  <c r="L44" i="5"/>
  <c r="L43" i="5"/>
  <c r="L42" i="5"/>
  <c r="D20" i="11" s="1"/>
  <c r="L41" i="5"/>
  <c r="L40" i="5"/>
  <c r="L39" i="5"/>
  <c r="L38" i="5"/>
  <c r="L37" i="5"/>
  <c r="L36" i="5"/>
  <c r="L35" i="5"/>
  <c r="L34" i="5"/>
  <c r="L33" i="5"/>
  <c r="L32" i="5"/>
  <c r="L31" i="5"/>
  <c r="L30" i="5"/>
  <c r="L29" i="5"/>
  <c r="L28" i="5"/>
  <c r="K27" i="5"/>
  <c r="L27" i="5" s="1"/>
  <c r="K26" i="5"/>
  <c r="L25" i="5"/>
  <c r="L24" i="5"/>
  <c r="L23" i="5"/>
  <c r="L22" i="5"/>
  <c r="L21" i="5"/>
  <c r="L20" i="5"/>
  <c r="L19" i="5"/>
  <c r="L18" i="5"/>
  <c r="L17" i="5"/>
  <c r="L16" i="5"/>
  <c r="L15" i="5"/>
  <c r="L14" i="5"/>
  <c r="L13" i="5"/>
  <c r="L12" i="5"/>
  <c r="L11" i="5"/>
  <c r="L10" i="5"/>
  <c r="L9" i="5"/>
  <c r="L8" i="5"/>
  <c r="L7" i="5"/>
  <c r="L6" i="5"/>
  <c r="L5" i="5"/>
  <c r="L4" i="5"/>
  <c r="L3" i="5"/>
  <c r="L2" i="5"/>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K27" i="4"/>
  <c r="L27" i="4" s="1"/>
  <c r="K26" i="4"/>
  <c r="L25" i="4"/>
  <c r="L24" i="4"/>
  <c r="L23" i="4"/>
  <c r="L22" i="4"/>
  <c r="L21" i="4"/>
  <c r="L20" i="4"/>
  <c r="L19" i="4"/>
  <c r="L18" i="4"/>
  <c r="L17" i="4"/>
  <c r="L16" i="4"/>
  <c r="L15" i="4"/>
  <c r="L14" i="4"/>
  <c r="L13" i="4"/>
  <c r="L12" i="4"/>
  <c r="L11" i="4"/>
  <c r="L10" i="4"/>
  <c r="L9" i="4"/>
  <c r="L8" i="4"/>
  <c r="L7" i="4"/>
  <c r="L6" i="4"/>
  <c r="L5" i="4"/>
  <c r="L4" i="4"/>
  <c r="L3" i="4"/>
  <c r="L2" i="4"/>
  <c r="C18" i="11" s="1"/>
  <c r="C24" i="11" s="1"/>
  <c r="L54" i="3"/>
  <c r="L53" i="3"/>
  <c r="L52" i="3"/>
  <c r="L51" i="3"/>
  <c r="L50" i="3"/>
  <c r="L49" i="3"/>
  <c r="L48" i="3"/>
  <c r="L47" i="3"/>
  <c r="L46" i="3"/>
  <c r="L45" i="3"/>
  <c r="L44" i="3"/>
  <c r="L43" i="3"/>
  <c r="B13" i="11"/>
  <c r="L42" i="3"/>
  <c r="L41" i="3"/>
  <c r="L40" i="3"/>
  <c r="L39" i="3"/>
  <c r="L38" i="3"/>
  <c r="L37" i="3"/>
  <c r="L36" i="3"/>
  <c r="L35" i="3"/>
  <c r="L34" i="3"/>
  <c r="L33" i="3"/>
  <c r="L32" i="3"/>
  <c r="L31" i="3"/>
  <c r="L30" i="3"/>
  <c r="L29" i="3"/>
  <c r="L28" i="3"/>
  <c r="L27" i="3"/>
  <c r="K26" i="3"/>
  <c r="L26" i="3" s="1"/>
  <c r="K25" i="3"/>
  <c r="L24" i="3"/>
  <c r="L23" i="3"/>
  <c r="L22" i="3"/>
  <c r="L21" i="3"/>
  <c r="L20" i="3"/>
  <c r="L19" i="3"/>
  <c r="L18" i="3"/>
  <c r="L17" i="3"/>
  <c r="L16" i="3"/>
  <c r="L15" i="3"/>
  <c r="L14" i="3"/>
  <c r="L13" i="3"/>
  <c r="L12" i="3"/>
  <c r="L11" i="3"/>
  <c r="L10" i="3"/>
  <c r="L9" i="3"/>
  <c r="L8" i="3"/>
  <c r="L7" i="3"/>
  <c r="L6" i="3"/>
  <c r="L5" i="3"/>
  <c r="L4" i="3"/>
  <c r="L3" i="3"/>
  <c r="L2" i="3"/>
  <c r="B18" i="11" s="1"/>
  <c r="D26" i="11" l="1"/>
  <c r="D18" i="11"/>
  <c r="D24" i="11" s="1"/>
  <c r="L26" i="5"/>
  <c r="D19" i="11" s="1"/>
  <c r="D25" i="11" s="1"/>
  <c r="D14" i="11"/>
  <c r="L26" i="4"/>
  <c r="C7" i="11"/>
  <c r="C14" i="11"/>
  <c r="C20" i="11"/>
  <c r="C26" i="11" s="1"/>
  <c r="C19" i="11"/>
  <c r="C25" i="11" s="1"/>
  <c r="L25" i="3"/>
  <c r="B14" i="11"/>
  <c r="B7" i="11"/>
  <c r="B33" i="11" s="1"/>
  <c r="I4" i="10" s="1"/>
  <c r="Q4" i="10" s="1"/>
  <c r="B24" i="11"/>
  <c r="C30" i="11"/>
  <c r="B4" i="10" s="1"/>
  <c r="D32" i="11"/>
  <c r="B26" i="11"/>
  <c r="C32" i="11"/>
  <c r="D4" i="10" s="1"/>
  <c r="B20" i="11"/>
  <c r="B19" i="11"/>
  <c r="D33" i="11" l="1"/>
  <c r="E4" i="10" s="1"/>
  <c r="L4" i="10"/>
  <c r="B25" i="11"/>
  <c r="C31" i="11"/>
  <c r="C4" i="10" s="1"/>
  <c r="B9" i="10" s="1"/>
  <c r="P4" i="10" l="1"/>
  <c r="D9" i="10" s="1"/>
  <c r="C9" i="10"/>
  <c r="F9" i="10"/>
  <c r="AQ4" i="10"/>
  <c r="AT4" i="10"/>
  <c r="AW4" i="10"/>
  <c r="AV4" i="10"/>
  <c r="AZ4" i="10"/>
  <c r="BB4" i="10" s="1"/>
  <c r="AR4" i="10"/>
  <c r="G9" i="10"/>
  <c r="AY4" i="10"/>
  <c r="AS4" i="10"/>
  <c r="AU4" i="10"/>
  <c r="AX4" i="10"/>
  <c r="BA4" i="10" l="1"/>
  <c r="E9" i="10"/>
</calcChain>
</file>

<file path=xl/comments1.xml><?xml version="1.0" encoding="utf-8"?>
<comments xmlns="http://schemas.openxmlformats.org/spreadsheetml/2006/main">
  <authors>
    <author>Jackson, Tricia</author>
  </authors>
  <commentList>
    <comment ref="I2" authorId="0">
      <text>
        <r>
          <rPr>
            <b/>
            <sz val="9"/>
            <color indexed="81"/>
            <rFont val="Tahoma"/>
            <family val="2"/>
          </rPr>
          <t>Jackson, Tricia:</t>
        </r>
        <r>
          <rPr>
            <sz val="9"/>
            <color indexed="81"/>
            <rFont val="Tahoma"/>
            <family val="2"/>
          </rPr>
          <t xml:space="preserve">
Source: EIA 923 Generator</t>
        </r>
      </text>
    </comment>
    <comment ref="M2" authorId="0">
      <text>
        <r>
          <rPr>
            <b/>
            <sz val="9"/>
            <color indexed="81"/>
            <rFont val="Tahoma"/>
            <family val="2"/>
          </rPr>
          <t>Jackson, Tricia:</t>
        </r>
        <r>
          <rPr>
            <sz val="9"/>
            <color indexed="81"/>
            <rFont val="Tahoma"/>
            <family val="2"/>
          </rPr>
          <t xml:space="preserve">
Source: AMPD</t>
        </r>
      </text>
    </comment>
    <comment ref="I3" authorId="0">
      <text>
        <r>
          <rPr>
            <b/>
            <sz val="9"/>
            <color indexed="81"/>
            <rFont val="Tahoma"/>
            <family val="2"/>
          </rPr>
          <t>Jackson, Tricia:</t>
        </r>
        <r>
          <rPr>
            <sz val="9"/>
            <color indexed="81"/>
            <rFont val="Tahoma"/>
            <family val="2"/>
          </rPr>
          <t xml:space="preserve">
Source: EIA 923 Generator</t>
        </r>
      </text>
    </comment>
    <comment ref="M3" authorId="0">
      <text>
        <r>
          <rPr>
            <b/>
            <sz val="9"/>
            <color indexed="81"/>
            <rFont val="Tahoma"/>
            <family val="2"/>
          </rPr>
          <t>Jackson, Tricia:</t>
        </r>
        <r>
          <rPr>
            <sz val="9"/>
            <color indexed="81"/>
            <rFont val="Tahoma"/>
            <family val="2"/>
          </rPr>
          <t xml:space="preserve">
Source: AMPD</t>
        </r>
      </text>
    </comment>
    <comment ref="I4" authorId="0">
      <text>
        <r>
          <rPr>
            <b/>
            <sz val="9"/>
            <color indexed="81"/>
            <rFont val="Tahoma"/>
            <family val="2"/>
          </rPr>
          <t>Jackson, Tricia:</t>
        </r>
        <r>
          <rPr>
            <sz val="9"/>
            <color indexed="81"/>
            <rFont val="Tahoma"/>
            <family val="2"/>
          </rPr>
          <t xml:space="preserve">
Source: EIA 923 Generator</t>
        </r>
      </text>
    </comment>
    <comment ref="M4" authorId="0">
      <text>
        <r>
          <rPr>
            <b/>
            <sz val="9"/>
            <color indexed="81"/>
            <rFont val="Tahoma"/>
            <family val="2"/>
          </rPr>
          <t>Jackson, Tricia:</t>
        </r>
        <r>
          <rPr>
            <sz val="9"/>
            <color indexed="81"/>
            <rFont val="Tahoma"/>
            <family val="2"/>
          </rPr>
          <t xml:space="preserve">
Source: AMPD</t>
        </r>
      </text>
    </comment>
    <comment ref="I5" authorId="0">
      <text>
        <r>
          <rPr>
            <b/>
            <sz val="9"/>
            <color indexed="81"/>
            <rFont val="Tahoma"/>
            <family val="2"/>
          </rPr>
          <t>Jackson, Tricia:</t>
        </r>
        <r>
          <rPr>
            <sz val="9"/>
            <color indexed="81"/>
            <rFont val="Tahoma"/>
            <family val="2"/>
          </rPr>
          <t xml:space="preserve">
Source: EIA 923 Generator</t>
        </r>
      </text>
    </comment>
    <comment ref="M5" authorId="0">
      <text>
        <r>
          <rPr>
            <b/>
            <sz val="9"/>
            <color indexed="81"/>
            <rFont val="Tahoma"/>
            <family val="2"/>
          </rPr>
          <t>Jackson, Tricia:</t>
        </r>
        <r>
          <rPr>
            <sz val="9"/>
            <color indexed="81"/>
            <rFont val="Tahoma"/>
            <family val="2"/>
          </rPr>
          <t xml:space="preserve">
Source: AMPD</t>
        </r>
      </text>
    </comment>
    <comment ref="I6" authorId="0">
      <text>
        <r>
          <rPr>
            <b/>
            <sz val="9"/>
            <color indexed="81"/>
            <rFont val="Tahoma"/>
            <family val="2"/>
          </rPr>
          <t>Jackson, Tricia:</t>
        </r>
        <r>
          <rPr>
            <sz val="9"/>
            <color indexed="81"/>
            <rFont val="Tahoma"/>
            <family val="2"/>
          </rPr>
          <t xml:space="preserve">
Source: EIA 923 Generator</t>
        </r>
      </text>
    </comment>
    <comment ref="M6" authorId="0">
      <text>
        <r>
          <rPr>
            <b/>
            <sz val="9"/>
            <color indexed="81"/>
            <rFont val="Tahoma"/>
            <family val="2"/>
          </rPr>
          <t>Jackson, Tricia:</t>
        </r>
        <r>
          <rPr>
            <sz val="9"/>
            <color indexed="81"/>
            <rFont val="Tahoma"/>
            <family val="2"/>
          </rPr>
          <t xml:space="preserve">
Source: AMPD</t>
        </r>
      </text>
    </comment>
    <comment ref="I7" authorId="0">
      <text>
        <r>
          <rPr>
            <b/>
            <sz val="9"/>
            <color indexed="81"/>
            <rFont val="Tahoma"/>
            <family val="2"/>
          </rPr>
          <t>Jackson, Tricia:</t>
        </r>
        <r>
          <rPr>
            <sz val="9"/>
            <color indexed="81"/>
            <rFont val="Tahoma"/>
            <family val="2"/>
          </rPr>
          <t xml:space="preserve">
CA+CT aggregated then distributed according NP capacity </t>
        </r>
      </text>
    </comment>
    <comment ref="M7"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8" authorId="0">
      <text>
        <r>
          <rPr>
            <b/>
            <sz val="9"/>
            <color indexed="81"/>
            <rFont val="Tahoma"/>
            <family val="2"/>
          </rPr>
          <t>Jackson, Tricia:</t>
        </r>
        <r>
          <rPr>
            <sz val="9"/>
            <color indexed="81"/>
            <rFont val="Tahoma"/>
            <family val="2"/>
          </rPr>
          <t xml:space="preserve">
CA+CT aggregated then distributed according NP capacity </t>
        </r>
      </text>
    </comment>
    <comment ref="M8"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9" authorId="0">
      <text>
        <r>
          <rPr>
            <b/>
            <sz val="9"/>
            <color indexed="81"/>
            <rFont val="Tahoma"/>
            <family val="2"/>
          </rPr>
          <t>Jackson, Tricia:</t>
        </r>
        <r>
          <rPr>
            <sz val="9"/>
            <color indexed="81"/>
            <rFont val="Tahoma"/>
            <family val="2"/>
          </rPr>
          <t xml:space="preserve">
CA+CT aggregated then distributed according NP capacity </t>
        </r>
      </text>
    </comment>
    <comment ref="M9"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10" authorId="0">
      <text>
        <r>
          <rPr>
            <b/>
            <sz val="9"/>
            <color indexed="81"/>
            <rFont val="Tahoma"/>
            <family val="2"/>
          </rPr>
          <t>Jackson, Tricia:</t>
        </r>
        <r>
          <rPr>
            <sz val="9"/>
            <color indexed="81"/>
            <rFont val="Tahoma"/>
            <family val="2"/>
          </rPr>
          <t xml:space="preserve">
CA+CT aggregated then distributed according NP capacity </t>
        </r>
      </text>
    </comment>
    <comment ref="M10" authorId="0">
      <text>
        <r>
          <rPr>
            <b/>
            <sz val="9"/>
            <color indexed="81"/>
            <rFont val="Tahoma"/>
            <family val="2"/>
          </rPr>
          <t>Jackson, Tricia:</t>
        </r>
        <r>
          <rPr>
            <sz val="9"/>
            <color indexed="81"/>
            <rFont val="Tahoma"/>
            <family val="2"/>
          </rPr>
          <t xml:space="preserve">
AMPD emissions for G1-G7 summed then distributed across all units</t>
        </r>
      </text>
    </comment>
    <comment ref="I11" authorId="0">
      <text>
        <r>
          <rPr>
            <b/>
            <sz val="9"/>
            <color indexed="81"/>
            <rFont val="Tahoma"/>
            <family val="2"/>
          </rPr>
          <t>Jackson, Tricia:</t>
        </r>
        <r>
          <rPr>
            <sz val="9"/>
            <color indexed="81"/>
            <rFont val="Tahoma"/>
            <family val="2"/>
          </rPr>
          <t xml:space="preserve">
CA+CT aggregated then distributed according NP capacity </t>
        </r>
      </text>
    </comment>
    <comment ref="M11" authorId="0">
      <text>
        <r>
          <rPr>
            <b/>
            <sz val="9"/>
            <color indexed="81"/>
            <rFont val="Tahoma"/>
            <family val="2"/>
          </rPr>
          <t>Jackson, Tricia:</t>
        </r>
        <r>
          <rPr>
            <sz val="9"/>
            <color indexed="81"/>
            <rFont val="Tahoma"/>
            <family val="2"/>
          </rPr>
          <t xml:space="preserve">
AMPD emissions for G1-G7 summed then distributed across all units</t>
        </r>
      </text>
    </comment>
    <comment ref="I12" authorId="0">
      <text>
        <r>
          <rPr>
            <b/>
            <sz val="9"/>
            <color indexed="81"/>
            <rFont val="Tahoma"/>
            <family val="2"/>
          </rPr>
          <t>Jackson, Tricia:</t>
        </r>
        <r>
          <rPr>
            <sz val="9"/>
            <color indexed="81"/>
            <rFont val="Tahoma"/>
            <family val="2"/>
          </rPr>
          <t xml:space="preserve">
CA+CT aggregated then distributed according NP capacity </t>
        </r>
      </text>
    </comment>
    <comment ref="M12" authorId="0">
      <text>
        <r>
          <rPr>
            <b/>
            <sz val="9"/>
            <color indexed="81"/>
            <rFont val="Tahoma"/>
            <family val="2"/>
          </rPr>
          <t>Jackson, Tricia:</t>
        </r>
        <r>
          <rPr>
            <sz val="9"/>
            <color indexed="81"/>
            <rFont val="Tahoma"/>
            <family val="2"/>
          </rPr>
          <t xml:space="preserve">
AMPD emissions for G1-G7 summed then distributed across all units</t>
        </r>
      </text>
    </comment>
    <comment ref="I13" authorId="0">
      <text>
        <r>
          <rPr>
            <b/>
            <sz val="9"/>
            <color indexed="81"/>
            <rFont val="Tahoma"/>
            <family val="2"/>
          </rPr>
          <t>Jackson, Tricia:</t>
        </r>
        <r>
          <rPr>
            <sz val="9"/>
            <color indexed="81"/>
            <rFont val="Tahoma"/>
            <family val="2"/>
          </rPr>
          <t xml:space="preserve">
CA+CT aggregated then distributed according NP capacity </t>
        </r>
      </text>
    </comment>
    <comment ref="M13" authorId="0">
      <text>
        <r>
          <rPr>
            <b/>
            <sz val="9"/>
            <color indexed="81"/>
            <rFont val="Tahoma"/>
            <family val="2"/>
          </rPr>
          <t>Jackson, Tricia:</t>
        </r>
        <r>
          <rPr>
            <sz val="9"/>
            <color indexed="81"/>
            <rFont val="Tahoma"/>
            <family val="2"/>
          </rPr>
          <t xml:space="preserve">
AMPD emissions for G1-G7 summed then distributed across all units</t>
        </r>
      </text>
    </comment>
    <comment ref="I14" authorId="0">
      <text>
        <r>
          <rPr>
            <b/>
            <sz val="9"/>
            <color indexed="81"/>
            <rFont val="Tahoma"/>
            <family val="2"/>
          </rPr>
          <t>Jackson, Tricia:</t>
        </r>
        <r>
          <rPr>
            <sz val="9"/>
            <color indexed="81"/>
            <rFont val="Tahoma"/>
            <family val="2"/>
          </rPr>
          <t xml:space="preserve">
CA+CT aggregated then distributed according NP capacity </t>
        </r>
      </text>
    </comment>
    <comment ref="M14" authorId="0">
      <text>
        <r>
          <rPr>
            <b/>
            <sz val="9"/>
            <color indexed="81"/>
            <rFont val="Tahoma"/>
            <family val="2"/>
          </rPr>
          <t>Jackson, Tricia:</t>
        </r>
        <r>
          <rPr>
            <sz val="9"/>
            <color indexed="81"/>
            <rFont val="Tahoma"/>
            <family val="2"/>
          </rPr>
          <t xml:space="preserve">
AMPD emissions for G1-G7 summed then distributed across all units</t>
        </r>
      </text>
    </comment>
    <comment ref="I15" authorId="0">
      <text>
        <r>
          <rPr>
            <b/>
            <sz val="9"/>
            <color indexed="81"/>
            <rFont val="Tahoma"/>
            <family val="2"/>
          </rPr>
          <t>Jackson, Tricia:</t>
        </r>
        <r>
          <rPr>
            <sz val="9"/>
            <color indexed="81"/>
            <rFont val="Tahoma"/>
            <family val="2"/>
          </rPr>
          <t xml:space="preserve">
CA+CT aggregated then distributed according NP capacity </t>
        </r>
      </text>
    </comment>
    <comment ref="M15" authorId="0">
      <text>
        <r>
          <rPr>
            <b/>
            <sz val="9"/>
            <color indexed="81"/>
            <rFont val="Tahoma"/>
            <family val="2"/>
          </rPr>
          <t>Jackson, Tricia:</t>
        </r>
        <r>
          <rPr>
            <sz val="9"/>
            <color indexed="81"/>
            <rFont val="Tahoma"/>
            <family val="2"/>
          </rPr>
          <t xml:space="preserve">
AMPD emissions for G1-G7 summed then distributed across all units</t>
        </r>
      </text>
    </comment>
    <comment ref="I16" authorId="0">
      <text>
        <r>
          <rPr>
            <b/>
            <sz val="9"/>
            <color indexed="81"/>
            <rFont val="Tahoma"/>
            <family val="2"/>
          </rPr>
          <t>Jackson, Tricia:</t>
        </r>
        <r>
          <rPr>
            <sz val="9"/>
            <color indexed="81"/>
            <rFont val="Tahoma"/>
            <family val="2"/>
          </rPr>
          <t xml:space="preserve">
CA+CT aggregated then distributed according NP capacity </t>
        </r>
      </text>
    </comment>
    <comment ref="M16" authorId="0">
      <text>
        <r>
          <rPr>
            <b/>
            <sz val="9"/>
            <color indexed="81"/>
            <rFont val="Tahoma"/>
            <family val="2"/>
          </rPr>
          <t>Jackson, Tricia:</t>
        </r>
        <r>
          <rPr>
            <sz val="9"/>
            <color indexed="81"/>
            <rFont val="Tahoma"/>
            <family val="2"/>
          </rPr>
          <t xml:space="preserve">
AMPD emissions for G1-G7 summed then distributed across all units</t>
        </r>
      </text>
    </comment>
    <comment ref="I17" authorId="0">
      <text>
        <r>
          <rPr>
            <b/>
            <sz val="9"/>
            <color indexed="81"/>
            <rFont val="Tahoma"/>
            <family val="2"/>
          </rPr>
          <t>Jackson, Tricia:</t>
        </r>
        <r>
          <rPr>
            <sz val="9"/>
            <color indexed="81"/>
            <rFont val="Tahoma"/>
            <family val="2"/>
          </rPr>
          <t xml:space="preserve">
CA+CT aggregated then distributed according NP capacity </t>
        </r>
      </text>
    </comment>
    <comment ref="M17" authorId="0">
      <text>
        <r>
          <rPr>
            <b/>
            <sz val="9"/>
            <color indexed="81"/>
            <rFont val="Tahoma"/>
            <family val="2"/>
          </rPr>
          <t>Jackson, Tricia:</t>
        </r>
        <r>
          <rPr>
            <sz val="9"/>
            <color indexed="81"/>
            <rFont val="Tahoma"/>
            <family val="2"/>
          </rPr>
          <t xml:space="preserve">
AMPD emissions for G1-G7 summed then distributed across all units</t>
        </r>
      </text>
    </comment>
    <comment ref="I18" authorId="0">
      <text>
        <r>
          <rPr>
            <b/>
            <sz val="9"/>
            <color indexed="81"/>
            <rFont val="Tahoma"/>
            <family val="2"/>
          </rPr>
          <t>Jackson, Tricia:</t>
        </r>
        <r>
          <rPr>
            <sz val="9"/>
            <color indexed="81"/>
            <rFont val="Tahoma"/>
            <family val="2"/>
          </rPr>
          <t xml:space="preserve">
CA+CT aggregated then distributed according NP capacity </t>
        </r>
      </text>
    </comment>
    <comment ref="M18" authorId="0">
      <text>
        <r>
          <rPr>
            <b/>
            <sz val="9"/>
            <color indexed="81"/>
            <rFont val="Tahoma"/>
            <family val="2"/>
          </rPr>
          <t>Jackson, Tricia:</t>
        </r>
        <r>
          <rPr>
            <sz val="9"/>
            <color indexed="81"/>
            <rFont val="Tahoma"/>
            <family val="2"/>
          </rPr>
          <t xml:space="preserve">
AMPD emissions for G1-G7 summed then distributed across all units</t>
        </r>
      </text>
    </comment>
    <comment ref="I19" authorId="0">
      <text>
        <r>
          <rPr>
            <b/>
            <sz val="9"/>
            <color indexed="81"/>
            <rFont val="Tahoma"/>
            <family val="2"/>
          </rPr>
          <t>Jackson, Tricia:</t>
        </r>
        <r>
          <rPr>
            <sz val="9"/>
            <color indexed="81"/>
            <rFont val="Tahoma"/>
            <family val="2"/>
          </rPr>
          <t xml:space="preserve">
CA+CT aggregated then distributed according NP capacity </t>
        </r>
      </text>
    </comment>
    <comment ref="M19"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0" authorId="0">
      <text>
        <r>
          <rPr>
            <b/>
            <sz val="9"/>
            <color indexed="81"/>
            <rFont val="Tahoma"/>
            <family val="2"/>
          </rPr>
          <t>Jackson, Tricia:</t>
        </r>
        <r>
          <rPr>
            <sz val="9"/>
            <color indexed="81"/>
            <rFont val="Tahoma"/>
            <family val="2"/>
          </rPr>
          <t xml:space="preserve">
CA+CT aggregated then distributed according NP capacity </t>
        </r>
      </text>
    </comment>
    <comment ref="M20"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1" authorId="0">
      <text>
        <r>
          <rPr>
            <b/>
            <sz val="9"/>
            <color indexed="81"/>
            <rFont val="Tahoma"/>
            <family val="2"/>
          </rPr>
          <t>Jackson, Tricia:</t>
        </r>
        <r>
          <rPr>
            <sz val="9"/>
            <color indexed="81"/>
            <rFont val="Tahoma"/>
            <family val="2"/>
          </rPr>
          <t xml:space="preserve">
CA+CT aggregated then distributed according NP capacity </t>
        </r>
      </text>
    </comment>
    <comment ref="M21"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2" authorId="0">
      <text>
        <r>
          <rPr>
            <b/>
            <sz val="9"/>
            <color indexed="81"/>
            <rFont val="Tahoma"/>
            <family val="2"/>
          </rPr>
          <t>Jackson, Tricia:</t>
        </r>
        <r>
          <rPr>
            <sz val="9"/>
            <color indexed="81"/>
            <rFont val="Tahoma"/>
            <family val="2"/>
          </rPr>
          <t xml:space="preserve">
CA+CT aggregated then distributed according NP capacity </t>
        </r>
      </text>
    </comment>
    <comment ref="M22"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3" authorId="0">
      <text>
        <r>
          <rPr>
            <b/>
            <sz val="9"/>
            <color indexed="81"/>
            <rFont val="Tahoma"/>
            <family val="2"/>
          </rPr>
          <t>Jackson, Tricia:</t>
        </r>
        <r>
          <rPr>
            <sz val="9"/>
            <color indexed="81"/>
            <rFont val="Tahoma"/>
            <family val="2"/>
          </rPr>
          <t xml:space="preserve">
CA+CT aggregated then distributed according NP capacity </t>
        </r>
      </text>
    </comment>
    <comment ref="M23"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4" authorId="0">
      <text>
        <r>
          <rPr>
            <b/>
            <sz val="9"/>
            <color indexed="81"/>
            <rFont val="Tahoma"/>
            <family val="2"/>
          </rPr>
          <t>Jackson, Tricia:</t>
        </r>
        <r>
          <rPr>
            <sz val="9"/>
            <color indexed="81"/>
            <rFont val="Tahoma"/>
            <family val="2"/>
          </rPr>
          <t xml:space="preserve">
CA+CT aggregated then distributed according NP capacity </t>
        </r>
      </text>
    </comment>
    <comment ref="M24"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5" authorId="0">
      <text>
        <r>
          <rPr>
            <b/>
            <sz val="9"/>
            <color indexed="81"/>
            <rFont val="Tahoma"/>
            <family val="2"/>
          </rPr>
          <t>Jackson, Tricia:</t>
        </r>
        <r>
          <rPr>
            <sz val="9"/>
            <color indexed="81"/>
            <rFont val="Tahoma"/>
            <family val="2"/>
          </rPr>
          <t xml:space="preserve">
CA+CT aggregated then distributed according NP capacity </t>
        </r>
      </text>
    </comment>
    <comment ref="J25"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M25" authorId="0">
      <text>
        <r>
          <rPr>
            <b/>
            <sz val="9"/>
            <color indexed="81"/>
            <rFont val="Tahoma"/>
            <family val="2"/>
          </rPr>
          <t>Jackson, Tricia:</t>
        </r>
        <r>
          <rPr>
            <sz val="9"/>
            <color indexed="81"/>
            <rFont val="Tahoma"/>
            <family val="2"/>
          </rPr>
          <t xml:space="preserve">
AMPD value of CT01 distributed across all units</t>
        </r>
      </text>
    </comment>
    <comment ref="I26" authorId="0">
      <text>
        <r>
          <rPr>
            <b/>
            <sz val="9"/>
            <color indexed="81"/>
            <rFont val="Tahoma"/>
            <family val="2"/>
          </rPr>
          <t>Jackson, Tricia:</t>
        </r>
        <r>
          <rPr>
            <sz val="9"/>
            <color indexed="81"/>
            <rFont val="Tahoma"/>
            <family val="2"/>
          </rPr>
          <t xml:space="preserve">
CA+CT aggregated then distributed according NP capacity </t>
        </r>
      </text>
    </comment>
    <comment ref="J26"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M26" authorId="0">
      <text>
        <r>
          <rPr>
            <b/>
            <sz val="9"/>
            <color indexed="81"/>
            <rFont val="Tahoma"/>
            <family val="2"/>
          </rPr>
          <t>Jackson, Tricia:</t>
        </r>
        <r>
          <rPr>
            <sz val="9"/>
            <color indexed="81"/>
            <rFont val="Tahoma"/>
            <family val="2"/>
          </rPr>
          <t xml:space="preserve">
AMPD value of CT01 distributed across all units</t>
        </r>
      </text>
    </comment>
    <comment ref="I27" authorId="0">
      <text>
        <r>
          <rPr>
            <b/>
            <sz val="9"/>
            <color indexed="81"/>
            <rFont val="Tahoma"/>
            <family val="2"/>
          </rPr>
          <t>Jackson, Tricia:</t>
        </r>
        <r>
          <rPr>
            <sz val="9"/>
            <color indexed="81"/>
            <rFont val="Tahoma"/>
            <family val="2"/>
          </rPr>
          <t xml:space="preserve">
CA+CT aggregated then distributed according NP capacity </t>
        </r>
      </text>
    </comment>
    <comment ref="M27" authorId="0">
      <text>
        <r>
          <rPr>
            <b/>
            <sz val="9"/>
            <color indexed="81"/>
            <rFont val="Tahoma"/>
            <family val="2"/>
          </rPr>
          <t>Jackson, Tricia:</t>
        </r>
        <r>
          <rPr>
            <sz val="9"/>
            <color indexed="81"/>
            <rFont val="Tahoma"/>
            <family val="2"/>
          </rPr>
          <t xml:space="preserve">
AMPD value for unit 2 distributed across all units</t>
        </r>
      </text>
    </comment>
    <comment ref="I28" authorId="0">
      <text>
        <r>
          <rPr>
            <b/>
            <sz val="9"/>
            <color indexed="81"/>
            <rFont val="Tahoma"/>
            <family val="2"/>
          </rPr>
          <t>Jackson, Tricia:</t>
        </r>
        <r>
          <rPr>
            <sz val="9"/>
            <color indexed="81"/>
            <rFont val="Tahoma"/>
            <family val="2"/>
          </rPr>
          <t xml:space="preserve">
CA+CT aggregated then distributed according NP capacity </t>
        </r>
      </text>
    </comment>
    <comment ref="M28" authorId="0">
      <text>
        <r>
          <rPr>
            <b/>
            <sz val="9"/>
            <color indexed="81"/>
            <rFont val="Tahoma"/>
            <family val="2"/>
          </rPr>
          <t>Jackson, Tricia:</t>
        </r>
        <r>
          <rPr>
            <sz val="9"/>
            <color indexed="81"/>
            <rFont val="Tahoma"/>
            <family val="2"/>
          </rPr>
          <t xml:space="preserve">
AMPD value for unit 2 distributed across all units</t>
        </r>
      </text>
    </comment>
    <comment ref="I29" authorId="0">
      <text>
        <r>
          <rPr>
            <b/>
            <sz val="9"/>
            <color indexed="81"/>
            <rFont val="Tahoma"/>
            <family val="2"/>
          </rPr>
          <t>Jackson, Tricia:</t>
        </r>
        <r>
          <rPr>
            <sz val="9"/>
            <color indexed="81"/>
            <rFont val="Tahoma"/>
            <family val="2"/>
          </rPr>
          <t xml:space="preserve">
CA+CT aggregated then distributed according NP capacity </t>
        </r>
      </text>
    </comment>
    <comment ref="M29"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0" authorId="0">
      <text>
        <r>
          <rPr>
            <b/>
            <sz val="9"/>
            <color indexed="81"/>
            <rFont val="Tahoma"/>
            <family val="2"/>
          </rPr>
          <t>Jackson, Tricia:</t>
        </r>
        <r>
          <rPr>
            <sz val="9"/>
            <color indexed="81"/>
            <rFont val="Tahoma"/>
            <family val="2"/>
          </rPr>
          <t xml:space="preserve">
CA+CT aggregated then distributed according NP capacity </t>
        </r>
      </text>
    </comment>
    <comment ref="M30"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1" authorId="0">
      <text>
        <r>
          <rPr>
            <b/>
            <sz val="9"/>
            <color indexed="81"/>
            <rFont val="Tahoma"/>
            <family val="2"/>
          </rPr>
          <t>Jackson, Tricia:</t>
        </r>
        <r>
          <rPr>
            <sz val="9"/>
            <color indexed="81"/>
            <rFont val="Tahoma"/>
            <family val="2"/>
          </rPr>
          <t xml:space="preserve">
CA+CT aggregated then distributed according NP capacity </t>
        </r>
      </text>
    </comment>
    <comment ref="M3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2" authorId="0">
      <text>
        <r>
          <rPr>
            <b/>
            <sz val="9"/>
            <color indexed="81"/>
            <rFont val="Tahoma"/>
            <family val="2"/>
          </rPr>
          <t>Jackson, Tricia:</t>
        </r>
        <r>
          <rPr>
            <sz val="9"/>
            <color indexed="81"/>
            <rFont val="Tahoma"/>
            <family val="2"/>
          </rPr>
          <t xml:space="preserve">
CA+CT aggregated then distributed according NP capacity </t>
        </r>
      </text>
    </comment>
    <comment ref="M32"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3" authorId="0">
      <text>
        <r>
          <rPr>
            <b/>
            <sz val="9"/>
            <color indexed="81"/>
            <rFont val="Tahoma"/>
            <family val="2"/>
          </rPr>
          <t>Jackson, Tricia:</t>
        </r>
        <r>
          <rPr>
            <sz val="9"/>
            <color indexed="81"/>
            <rFont val="Tahoma"/>
            <family val="2"/>
          </rPr>
          <t xml:space="preserve">
CA+CT aggregated then distributed according NP capacity </t>
        </r>
      </text>
    </comment>
    <comment ref="M33"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4" authorId="0">
      <text>
        <r>
          <rPr>
            <b/>
            <sz val="9"/>
            <color indexed="81"/>
            <rFont val="Tahoma"/>
            <family val="2"/>
          </rPr>
          <t>Jackson, Tricia:</t>
        </r>
        <r>
          <rPr>
            <sz val="9"/>
            <color indexed="81"/>
            <rFont val="Tahoma"/>
            <family val="2"/>
          </rPr>
          <t xml:space="preserve">
CA+CT aggregated then distributed according NP capacity </t>
        </r>
      </text>
    </comment>
    <comment ref="M34"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5" authorId="0">
      <text>
        <r>
          <rPr>
            <b/>
            <sz val="9"/>
            <color indexed="81"/>
            <rFont val="Tahoma"/>
            <family val="2"/>
          </rPr>
          <t>Jackson, Tricia:</t>
        </r>
        <r>
          <rPr>
            <sz val="9"/>
            <color indexed="81"/>
            <rFont val="Tahoma"/>
            <family val="2"/>
          </rPr>
          <t xml:space="preserve">
CA+CT aggregated then distributed according NP capacity </t>
        </r>
      </text>
    </comment>
    <comment ref="M35"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6" authorId="0">
      <text>
        <r>
          <rPr>
            <b/>
            <sz val="9"/>
            <color indexed="81"/>
            <rFont val="Tahoma"/>
            <family val="2"/>
          </rPr>
          <t>Jackson, Tricia:</t>
        </r>
        <r>
          <rPr>
            <sz val="9"/>
            <color indexed="81"/>
            <rFont val="Tahoma"/>
            <family val="2"/>
          </rPr>
          <t xml:space="preserve">
CA+CT aggregated then distributed according NP capacity </t>
        </r>
      </text>
    </comment>
    <comment ref="M36"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7" authorId="0">
      <text>
        <r>
          <rPr>
            <b/>
            <sz val="9"/>
            <color indexed="81"/>
            <rFont val="Tahoma"/>
            <family val="2"/>
          </rPr>
          <t>Jackson, Tricia:</t>
        </r>
        <r>
          <rPr>
            <sz val="9"/>
            <color indexed="81"/>
            <rFont val="Tahoma"/>
            <family val="2"/>
          </rPr>
          <t xml:space="preserve">
CA+CT aggregated then distributed according NP capacity </t>
        </r>
      </text>
    </comment>
    <comment ref="M37"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8" authorId="0">
      <text>
        <r>
          <rPr>
            <b/>
            <sz val="9"/>
            <color indexed="81"/>
            <rFont val="Tahoma"/>
            <family val="2"/>
          </rPr>
          <t>Jackson, Tricia:</t>
        </r>
        <r>
          <rPr>
            <sz val="9"/>
            <color indexed="81"/>
            <rFont val="Tahoma"/>
            <family val="2"/>
          </rPr>
          <t xml:space="preserve">
CA+CT aggregated then distributed according NP capacity </t>
        </r>
      </text>
    </comment>
    <comment ref="M38"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9" authorId="0">
      <text>
        <r>
          <rPr>
            <b/>
            <sz val="9"/>
            <color indexed="81"/>
            <rFont val="Tahoma"/>
            <family val="2"/>
          </rPr>
          <t>Jackson, Tricia:</t>
        </r>
        <r>
          <rPr>
            <sz val="9"/>
            <color indexed="81"/>
            <rFont val="Tahoma"/>
            <family val="2"/>
          </rPr>
          <t xml:space="preserve">
CA+CT aggregated then distributed according NP capacity </t>
        </r>
      </text>
    </comment>
    <comment ref="M39"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40" authorId="0">
      <text>
        <r>
          <rPr>
            <b/>
            <sz val="9"/>
            <color indexed="81"/>
            <rFont val="Tahoma"/>
            <family val="2"/>
          </rPr>
          <t>Jackson, Tricia:</t>
        </r>
        <r>
          <rPr>
            <sz val="9"/>
            <color indexed="81"/>
            <rFont val="Tahoma"/>
            <family val="2"/>
          </rPr>
          <t xml:space="preserve">
CA+CT aggregated then distributed according NP capacity </t>
        </r>
      </text>
    </comment>
    <comment ref="M40"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41" authorId="0">
      <text>
        <r>
          <rPr>
            <b/>
            <sz val="9"/>
            <color indexed="81"/>
            <rFont val="Tahoma"/>
            <family val="2"/>
          </rPr>
          <t>Jackson, Tricia:</t>
        </r>
        <r>
          <rPr>
            <sz val="9"/>
            <color indexed="81"/>
            <rFont val="Tahoma"/>
            <family val="2"/>
          </rPr>
          <t xml:space="preserve">
Source: EIA 923 Generator</t>
        </r>
      </text>
    </comment>
    <comment ref="M41" authorId="0">
      <text>
        <r>
          <rPr>
            <b/>
            <sz val="9"/>
            <color indexed="81"/>
            <rFont val="Tahoma"/>
            <family val="2"/>
          </rPr>
          <t>Jackson, Tricia:</t>
        </r>
        <r>
          <rPr>
            <sz val="9"/>
            <color indexed="81"/>
            <rFont val="Tahoma"/>
            <family val="2"/>
          </rPr>
          <t xml:space="preserve">
Source: AMPD</t>
        </r>
      </text>
    </comment>
    <comment ref="I42" authorId="0">
      <text>
        <r>
          <rPr>
            <b/>
            <sz val="9"/>
            <color indexed="81"/>
            <rFont val="Tahoma"/>
            <family val="2"/>
          </rPr>
          <t>Jackson, Tricia:</t>
        </r>
        <r>
          <rPr>
            <sz val="9"/>
            <color indexed="81"/>
            <rFont val="Tahoma"/>
            <family val="2"/>
          </rPr>
          <t xml:space="preserve">
Source: EIA 923 Generator</t>
        </r>
      </text>
    </comment>
    <comment ref="M42" authorId="0">
      <text>
        <r>
          <rPr>
            <b/>
            <sz val="9"/>
            <color indexed="81"/>
            <rFont val="Tahoma"/>
            <family val="2"/>
          </rPr>
          <t>Jackson, Tricia:</t>
        </r>
        <r>
          <rPr>
            <sz val="9"/>
            <color indexed="81"/>
            <rFont val="Tahoma"/>
            <family val="2"/>
          </rPr>
          <t xml:space="preserve">
Source: Emissions estimated from EIA 923 Boiler fuel consumption</t>
        </r>
      </text>
    </comment>
    <comment ref="I43" authorId="0">
      <text>
        <r>
          <rPr>
            <b/>
            <sz val="9"/>
            <color indexed="81"/>
            <rFont val="Tahoma"/>
            <family val="2"/>
          </rPr>
          <t>Jackson, Tricia:</t>
        </r>
        <r>
          <rPr>
            <sz val="9"/>
            <color indexed="81"/>
            <rFont val="Tahoma"/>
            <family val="2"/>
          </rPr>
          <t xml:space="preserve">
Source: EIA 923 Generator</t>
        </r>
      </text>
    </comment>
    <comment ref="M43" authorId="0">
      <text>
        <r>
          <rPr>
            <b/>
            <sz val="9"/>
            <color indexed="81"/>
            <rFont val="Tahoma"/>
            <family val="2"/>
          </rPr>
          <t>Jackson, Tricia:</t>
        </r>
        <r>
          <rPr>
            <sz val="9"/>
            <color indexed="81"/>
            <rFont val="Tahoma"/>
            <family val="2"/>
          </rPr>
          <t xml:space="preserve">
Source: AMPD</t>
        </r>
      </text>
    </comment>
    <comment ref="I44" authorId="0">
      <text>
        <r>
          <rPr>
            <b/>
            <sz val="9"/>
            <color indexed="81"/>
            <rFont val="Tahoma"/>
            <family val="2"/>
          </rPr>
          <t>Jackson, Tricia:</t>
        </r>
        <r>
          <rPr>
            <sz val="9"/>
            <color indexed="81"/>
            <rFont val="Tahoma"/>
            <family val="2"/>
          </rPr>
          <t xml:space="preserve">
Source: EIA 923 Generator</t>
        </r>
      </text>
    </comment>
    <comment ref="M44" authorId="0">
      <text>
        <r>
          <rPr>
            <b/>
            <sz val="9"/>
            <color indexed="81"/>
            <rFont val="Tahoma"/>
            <family val="2"/>
          </rPr>
          <t>Jackson, Tricia:</t>
        </r>
        <r>
          <rPr>
            <sz val="9"/>
            <color indexed="81"/>
            <rFont val="Tahoma"/>
            <family val="2"/>
          </rPr>
          <t xml:space="preserve">
Source: AMPD</t>
        </r>
      </text>
    </comment>
    <comment ref="I45" authorId="0">
      <text>
        <r>
          <rPr>
            <b/>
            <sz val="9"/>
            <color indexed="81"/>
            <rFont val="Tahoma"/>
            <family val="2"/>
          </rPr>
          <t>Jackson, Tricia:</t>
        </r>
        <r>
          <rPr>
            <sz val="9"/>
            <color indexed="81"/>
            <rFont val="Tahoma"/>
            <family val="2"/>
          </rPr>
          <t xml:space="preserve">
Source: EIA 923 Generator</t>
        </r>
      </text>
    </comment>
    <comment ref="M45" authorId="0">
      <text>
        <r>
          <rPr>
            <b/>
            <sz val="9"/>
            <color indexed="81"/>
            <rFont val="Tahoma"/>
            <family val="2"/>
          </rPr>
          <t>Jackson, Tricia:</t>
        </r>
        <r>
          <rPr>
            <sz val="9"/>
            <color indexed="81"/>
            <rFont val="Tahoma"/>
            <family val="2"/>
          </rPr>
          <t xml:space="preserve">
Source: AMPD</t>
        </r>
      </text>
    </comment>
    <comment ref="I46" authorId="0">
      <text>
        <r>
          <rPr>
            <b/>
            <sz val="9"/>
            <color indexed="81"/>
            <rFont val="Tahoma"/>
            <family val="2"/>
          </rPr>
          <t>Jackson, Tricia:</t>
        </r>
        <r>
          <rPr>
            <sz val="9"/>
            <color indexed="81"/>
            <rFont val="Tahoma"/>
            <family val="2"/>
          </rPr>
          <t xml:space="preserve">
Source: EIA 923 Generator</t>
        </r>
      </text>
    </comment>
    <comment ref="M46" authorId="0">
      <text>
        <r>
          <rPr>
            <b/>
            <sz val="9"/>
            <color indexed="81"/>
            <rFont val="Tahoma"/>
            <family val="2"/>
          </rPr>
          <t>Jackson, Tricia:</t>
        </r>
        <r>
          <rPr>
            <sz val="9"/>
            <color indexed="81"/>
            <rFont val="Tahoma"/>
            <family val="2"/>
          </rPr>
          <t xml:space="preserve">
Source: Emissions estimated from EIA 923 boiler fuel consumption</t>
        </r>
      </text>
    </comment>
    <comment ref="I47" authorId="0">
      <text>
        <r>
          <rPr>
            <b/>
            <sz val="9"/>
            <color indexed="81"/>
            <rFont val="Tahoma"/>
            <family val="2"/>
          </rPr>
          <t>Jackson, Tricia:</t>
        </r>
        <r>
          <rPr>
            <sz val="9"/>
            <color indexed="81"/>
            <rFont val="Tahoma"/>
            <family val="2"/>
          </rPr>
          <t xml:space="preserve">
Source: EIA 923 Generator</t>
        </r>
      </text>
    </comment>
    <comment ref="M47" authorId="0">
      <text>
        <r>
          <rPr>
            <b/>
            <sz val="9"/>
            <color indexed="81"/>
            <rFont val="Tahoma"/>
            <family val="2"/>
          </rPr>
          <t>Jackson, Tricia:</t>
        </r>
        <r>
          <rPr>
            <sz val="9"/>
            <color indexed="81"/>
            <rFont val="Tahoma"/>
            <family val="2"/>
          </rPr>
          <t xml:space="preserve">
Source: AMPD</t>
        </r>
      </text>
    </comment>
    <comment ref="I48" authorId="0">
      <text>
        <r>
          <rPr>
            <b/>
            <sz val="9"/>
            <color indexed="81"/>
            <rFont val="Tahoma"/>
            <family val="2"/>
          </rPr>
          <t>Jackson, Tricia:</t>
        </r>
        <r>
          <rPr>
            <sz val="9"/>
            <color indexed="81"/>
            <rFont val="Tahoma"/>
            <family val="2"/>
          </rPr>
          <t xml:space="preserve">
Source: EIA 923 Generator</t>
        </r>
      </text>
    </comment>
    <comment ref="M48" authorId="0">
      <text>
        <r>
          <rPr>
            <b/>
            <sz val="9"/>
            <color indexed="81"/>
            <rFont val="Tahoma"/>
            <family val="2"/>
          </rPr>
          <t>Jackson, Tricia:</t>
        </r>
        <r>
          <rPr>
            <sz val="9"/>
            <color indexed="81"/>
            <rFont val="Tahoma"/>
            <family val="2"/>
          </rPr>
          <t xml:space="preserve">
Source: Emissions estimated from EIA 923 Boiler Fuel Consumption</t>
        </r>
      </text>
    </comment>
    <comment ref="I49" authorId="0">
      <text>
        <r>
          <rPr>
            <b/>
            <sz val="9"/>
            <color indexed="81"/>
            <rFont val="Tahoma"/>
            <family val="2"/>
          </rPr>
          <t>Jackson, Tricia:</t>
        </r>
        <r>
          <rPr>
            <sz val="9"/>
            <color indexed="81"/>
            <rFont val="Tahoma"/>
            <family val="2"/>
          </rPr>
          <t xml:space="preserve">
Source: EIA 923 Generator</t>
        </r>
      </text>
    </comment>
    <comment ref="M49" authorId="0">
      <text>
        <r>
          <rPr>
            <b/>
            <sz val="9"/>
            <color indexed="81"/>
            <rFont val="Tahoma"/>
            <family val="2"/>
          </rPr>
          <t>Jackson, Tricia:</t>
        </r>
        <r>
          <rPr>
            <sz val="9"/>
            <color indexed="81"/>
            <rFont val="Tahoma"/>
            <family val="2"/>
          </rPr>
          <t xml:space="preserve">
Source: Emissions estimated from EIA 923 Boiler Fuel Consumption</t>
        </r>
      </text>
    </comment>
    <comment ref="I50" authorId="0">
      <text>
        <r>
          <rPr>
            <b/>
            <sz val="9"/>
            <color indexed="81"/>
            <rFont val="Tahoma"/>
            <family val="2"/>
          </rPr>
          <t>Jackson, Tricia:</t>
        </r>
        <r>
          <rPr>
            <sz val="9"/>
            <color indexed="81"/>
            <rFont val="Tahoma"/>
            <family val="2"/>
          </rPr>
          <t xml:space="preserve">
Source: EIA 923 Generator</t>
        </r>
      </text>
    </comment>
    <comment ref="M50" authorId="0">
      <text>
        <r>
          <rPr>
            <b/>
            <sz val="9"/>
            <color indexed="81"/>
            <rFont val="Tahoma"/>
            <family val="2"/>
          </rPr>
          <t>Jackson, Tricia:</t>
        </r>
        <r>
          <rPr>
            <sz val="9"/>
            <color indexed="81"/>
            <rFont val="Tahoma"/>
            <family val="2"/>
          </rPr>
          <t xml:space="preserve">
Source: Emissions estimated from EIA 923 Boiler Fuel Consumption</t>
        </r>
      </text>
    </comment>
    <comment ref="I51" authorId="0">
      <text>
        <r>
          <rPr>
            <b/>
            <sz val="9"/>
            <color indexed="81"/>
            <rFont val="Tahoma"/>
            <family val="2"/>
          </rPr>
          <t>Jackson, Tricia:</t>
        </r>
        <r>
          <rPr>
            <sz val="9"/>
            <color indexed="81"/>
            <rFont val="Tahoma"/>
            <family val="2"/>
          </rPr>
          <t xml:space="preserve">
Source: EIA 923 Generator</t>
        </r>
      </text>
    </comment>
    <comment ref="M51" authorId="0">
      <text>
        <r>
          <rPr>
            <b/>
            <sz val="9"/>
            <color indexed="81"/>
            <rFont val="Tahoma"/>
            <family val="2"/>
          </rPr>
          <t>Jackson, Tricia:</t>
        </r>
        <r>
          <rPr>
            <sz val="9"/>
            <color indexed="81"/>
            <rFont val="Tahoma"/>
            <family val="2"/>
          </rPr>
          <t xml:space="preserve">
Source: AMPD</t>
        </r>
      </text>
    </comment>
    <comment ref="I52" authorId="0">
      <text>
        <r>
          <rPr>
            <b/>
            <sz val="9"/>
            <color indexed="81"/>
            <rFont val="Tahoma"/>
            <family val="2"/>
          </rPr>
          <t>Jackson, Tricia:</t>
        </r>
        <r>
          <rPr>
            <sz val="9"/>
            <color indexed="81"/>
            <rFont val="Tahoma"/>
            <family val="2"/>
          </rPr>
          <t xml:space="preserve">
Source: EIA 923 Generator</t>
        </r>
      </text>
    </comment>
    <comment ref="M52" authorId="0">
      <text>
        <r>
          <rPr>
            <b/>
            <sz val="9"/>
            <color indexed="81"/>
            <rFont val="Tahoma"/>
            <family val="2"/>
          </rPr>
          <t>Jackson, Tricia:</t>
        </r>
        <r>
          <rPr>
            <sz val="9"/>
            <color indexed="81"/>
            <rFont val="Tahoma"/>
            <family val="2"/>
          </rPr>
          <t xml:space="preserve">
Source: AMPD</t>
        </r>
      </text>
    </comment>
    <comment ref="I53" authorId="0">
      <text>
        <r>
          <rPr>
            <b/>
            <sz val="9"/>
            <color indexed="81"/>
            <rFont val="Tahoma"/>
            <family val="2"/>
          </rPr>
          <t>Jackson, Tricia:</t>
        </r>
        <r>
          <rPr>
            <sz val="9"/>
            <color indexed="81"/>
            <rFont val="Tahoma"/>
            <family val="2"/>
          </rPr>
          <t xml:space="preserve">
Source: EIA 923 Generator</t>
        </r>
      </text>
    </comment>
    <comment ref="M53" authorId="0">
      <text>
        <r>
          <rPr>
            <b/>
            <sz val="9"/>
            <color indexed="81"/>
            <rFont val="Tahoma"/>
            <family val="2"/>
          </rPr>
          <t>Jackson, Tricia:</t>
        </r>
        <r>
          <rPr>
            <sz val="9"/>
            <color indexed="81"/>
            <rFont val="Tahoma"/>
            <family val="2"/>
          </rPr>
          <t xml:space="preserve">
Source: Emissions estimated from EIA 923 Boiler Fuel Consumption</t>
        </r>
      </text>
    </comment>
    <comment ref="I54" authorId="0">
      <text>
        <r>
          <rPr>
            <b/>
            <sz val="9"/>
            <color indexed="81"/>
            <rFont val="Tahoma"/>
            <family val="2"/>
          </rPr>
          <t>Jackson, Tricia:</t>
        </r>
        <r>
          <rPr>
            <sz val="9"/>
            <color indexed="81"/>
            <rFont val="Tahoma"/>
            <family val="2"/>
          </rPr>
          <t xml:space="preserve">
Source: EIA 923 Generator</t>
        </r>
      </text>
    </comment>
    <comment ref="M54" authorId="0">
      <text>
        <r>
          <rPr>
            <b/>
            <sz val="9"/>
            <color indexed="81"/>
            <rFont val="Tahoma"/>
            <family val="2"/>
          </rPr>
          <t>Jackson, Tricia:</t>
        </r>
        <r>
          <rPr>
            <sz val="9"/>
            <color indexed="81"/>
            <rFont val="Tahoma"/>
            <family val="2"/>
          </rPr>
          <t xml:space="preserve">
Source: EIA 923 tab1 estimated emissions from fuel consumption under same prime mover minus Robert E Ritchie boiler specific 
</t>
        </r>
      </text>
    </comment>
  </commentList>
</comments>
</file>

<file path=xl/comments2.xml><?xml version="1.0" encoding="utf-8"?>
<comments xmlns="http://schemas.openxmlformats.org/spreadsheetml/2006/main">
  <authors>
    <author>Jackson, Tricia</author>
  </authors>
  <commentList>
    <comment ref="I2" authorId="0">
      <text>
        <r>
          <rPr>
            <b/>
            <sz val="9"/>
            <color indexed="81"/>
            <rFont val="Tahoma"/>
            <family val="2"/>
          </rPr>
          <t>Jackson, Tricia:</t>
        </r>
        <r>
          <rPr>
            <sz val="9"/>
            <color indexed="81"/>
            <rFont val="Tahoma"/>
            <family val="2"/>
          </rPr>
          <t xml:space="preserve">
Source: EIA 923 Generator</t>
        </r>
      </text>
    </comment>
    <comment ref="M2" authorId="0">
      <text>
        <r>
          <rPr>
            <b/>
            <sz val="9"/>
            <color indexed="81"/>
            <rFont val="Tahoma"/>
            <family val="2"/>
          </rPr>
          <t>Jackson, Tricia:</t>
        </r>
        <r>
          <rPr>
            <sz val="9"/>
            <color indexed="81"/>
            <rFont val="Tahoma"/>
            <family val="2"/>
          </rPr>
          <t xml:space="preserve">
Source: AMPD</t>
        </r>
      </text>
    </comment>
    <comment ref="I3" authorId="0">
      <text>
        <r>
          <rPr>
            <b/>
            <sz val="9"/>
            <color indexed="81"/>
            <rFont val="Tahoma"/>
            <family val="2"/>
          </rPr>
          <t>Jackson, Tricia:</t>
        </r>
        <r>
          <rPr>
            <sz val="9"/>
            <color indexed="81"/>
            <rFont val="Tahoma"/>
            <family val="2"/>
          </rPr>
          <t xml:space="preserve">
Source: EIA 923 Generator</t>
        </r>
      </text>
    </comment>
    <comment ref="M3" authorId="0">
      <text>
        <r>
          <rPr>
            <b/>
            <sz val="9"/>
            <color indexed="81"/>
            <rFont val="Tahoma"/>
            <family val="2"/>
          </rPr>
          <t>Jackson, Tricia:</t>
        </r>
        <r>
          <rPr>
            <sz val="9"/>
            <color indexed="81"/>
            <rFont val="Tahoma"/>
            <family val="2"/>
          </rPr>
          <t xml:space="preserve">
Source: AMPD</t>
        </r>
      </text>
    </comment>
    <comment ref="I4" authorId="0">
      <text>
        <r>
          <rPr>
            <b/>
            <sz val="9"/>
            <color indexed="81"/>
            <rFont val="Tahoma"/>
            <family val="2"/>
          </rPr>
          <t>Jackson, Tricia:</t>
        </r>
        <r>
          <rPr>
            <sz val="9"/>
            <color indexed="81"/>
            <rFont val="Tahoma"/>
            <family val="2"/>
          </rPr>
          <t xml:space="preserve">
Source: EIA 923 Generator</t>
        </r>
      </text>
    </comment>
    <comment ref="M4" authorId="0">
      <text>
        <r>
          <rPr>
            <b/>
            <sz val="9"/>
            <color indexed="81"/>
            <rFont val="Tahoma"/>
            <family val="2"/>
          </rPr>
          <t>Jackson, Tricia:</t>
        </r>
        <r>
          <rPr>
            <sz val="9"/>
            <color indexed="81"/>
            <rFont val="Tahoma"/>
            <family val="2"/>
          </rPr>
          <t xml:space="preserve">
Source: AMPD</t>
        </r>
      </text>
    </comment>
    <comment ref="I5" authorId="0">
      <text>
        <r>
          <rPr>
            <b/>
            <sz val="9"/>
            <color indexed="81"/>
            <rFont val="Tahoma"/>
            <family val="2"/>
          </rPr>
          <t>Jackson, Tricia:</t>
        </r>
        <r>
          <rPr>
            <sz val="9"/>
            <color indexed="81"/>
            <rFont val="Tahoma"/>
            <family val="2"/>
          </rPr>
          <t xml:space="preserve">
Source: EIA 923 Generator</t>
        </r>
      </text>
    </comment>
    <comment ref="M5" authorId="0">
      <text>
        <r>
          <rPr>
            <b/>
            <sz val="9"/>
            <color indexed="81"/>
            <rFont val="Tahoma"/>
            <family val="2"/>
          </rPr>
          <t>Jackson, Tricia:</t>
        </r>
        <r>
          <rPr>
            <sz val="9"/>
            <color indexed="81"/>
            <rFont val="Tahoma"/>
            <family val="2"/>
          </rPr>
          <t xml:space="preserve">
Source: AMPD</t>
        </r>
      </text>
    </comment>
    <comment ref="I6" authorId="0">
      <text>
        <r>
          <rPr>
            <b/>
            <sz val="9"/>
            <color indexed="81"/>
            <rFont val="Tahoma"/>
            <family val="2"/>
          </rPr>
          <t>Jackson, Tricia:</t>
        </r>
        <r>
          <rPr>
            <sz val="9"/>
            <color indexed="81"/>
            <rFont val="Tahoma"/>
            <family val="2"/>
          </rPr>
          <t xml:space="preserve">
Source: EIA 923 Generator</t>
        </r>
      </text>
    </comment>
    <comment ref="M6" authorId="0">
      <text>
        <r>
          <rPr>
            <b/>
            <sz val="9"/>
            <color indexed="81"/>
            <rFont val="Tahoma"/>
            <family val="2"/>
          </rPr>
          <t>Jackson, Tricia:</t>
        </r>
        <r>
          <rPr>
            <sz val="9"/>
            <color indexed="81"/>
            <rFont val="Tahoma"/>
            <family val="2"/>
          </rPr>
          <t xml:space="preserve">
Source: AMPD</t>
        </r>
      </text>
    </comment>
    <comment ref="I7" authorId="0">
      <text>
        <r>
          <rPr>
            <b/>
            <sz val="9"/>
            <color indexed="81"/>
            <rFont val="Tahoma"/>
            <family val="2"/>
          </rPr>
          <t>Jackson, Tricia:</t>
        </r>
        <r>
          <rPr>
            <sz val="9"/>
            <color indexed="81"/>
            <rFont val="Tahoma"/>
            <family val="2"/>
          </rPr>
          <t xml:space="preserve">
Source: EIA 923 Generator</t>
        </r>
      </text>
    </comment>
    <comment ref="M7" authorId="0">
      <text>
        <r>
          <rPr>
            <b/>
            <sz val="9"/>
            <color indexed="81"/>
            <rFont val="Tahoma"/>
            <family val="2"/>
          </rPr>
          <t>Jackson, Tricia:</t>
        </r>
        <r>
          <rPr>
            <sz val="9"/>
            <color indexed="81"/>
            <rFont val="Tahoma"/>
            <family val="2"/>
          </rPr>
          <t xml:space="preserve">
Source: AMPD</t>
        </r>
      </text>
    </comment>
    <comment ref="I8" authorId="0">
      <text>
        <r>
          <rPr>
            <b/>
            <sz val="9"/>
            <color indexed="81"/>
            <rFont val="Tahoma"/>
            <family val="2"/>
          </rPr>
          <t>Jackson, Tricia:</t>
        </r>
        <r>
          <rPr>
            <sz val="9"/>
            <color indexed="81"/>
            <rFont val="Tahoma"/>
            <family val="2"/>
          </rPr>
          <t xml:space="preserve">
CA+CT aggregated then distributed according NP capacity </t>
        </r>
      </text>
    </comment>
    <comment ref="M8"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9" authorId="0">
      <text>
        <r>
          <rPr>
            <b/>
            <sz val="9"/>
            <color indexed="81"/>
            <rFont val="Tahoma"/>
            <family val="2"/>
          </rPr>
          <t>Jackson, Tricia:</t>
        </r>
        <r>
          <rPr>
            <sz val="9"/>
            <color indexed="81"/>
            <rFont val="Tahoma"/>
            <family val="2"/>
          </rPr>
          <t xml:space="preserve">
CA+CT aggregated then distributed according NP capacity </t>
        </r>
      </text>
    </comment>
    <comment ref="M9"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10" authorId="0">
      <text>
        <r>
          <rPr>
            <b/>
            <sz val="9"/>
            <color indexed="81"/>
            <rFont val="Tahoma"/>
            <family val="2"/>
          </rPr>
          <t>Jackson, Tricia:</t>
        </r>
        <r>
          <rPr>
            <sz val="9"/>
            <color indexed="81"/>
            <rFont val="Tahoma"/>
            <family val="2"/>
          </rPr>
          <t xml:space="preserve">
CA+CT aggregated then distributed according NP capacity </t>
        </r>
      </text>
    </comment>
    <comment ref="M10"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11" authorId="0">
      <text>
        <r>
          <rPr>
            <b/>
            <sz val="9"/>
            <color indexed="81"/>
            <rFont val="Tahoma"/>
            <family val="2"/>
          </rPr>
          <t>Jackson, Tricia:</t>
        </r>
        <r>
          <rPr>
            <sz val="9"/>
            <color indexed="81"/>
            <rFont val="Tahoma"/>
            <family val="2"/>
          </rPr>
          <t xml:space="preserve">
CA+CT aggregated then distributed according NP capacity </t>
        </r>
      </text>
    </comment>
    <comment ref="M11" authorId="0">
      <text>
        <r>
          <rPr>
            <b/>
            <sz val="9"/>
            <color indexed="81"/>
            <rFont val="Tahoma"/>
            <family val="2"/>
          </rPr>
          <t>Jackson, Tricia:</t>
        </r>
        <r>
          <rPr>
            <sz val="9"/>
            <color indexed="81"/>
            <rFont val="Tahoma"/>
            <family val="2"/>
          </rPr>
          <t xml:space="preserve">
AMPD emissions for G1-G7 summed then distributed across all units</t>
        </r>
      </text>
    </comment>
    <comment ref="I12" authorId="0">
      <text>
        <r>
          <rPr>
            <b/>
            <sz val="9"/>
            <color indexed="81"/>
            <rFont val="Tahoma"/>
            <family val="2"/>
          </rPr>
          <t>Jackson, Tricia:</t>
        </r>
        <r>
          <rPr>
            <sz val="9"/>
            <color indexed="81"/>
            <rFont val="Tahoma"/>
            <family val="2"/>
          </rPr>
          <t xml:space="preserve">
CA+CT aggregated then distributed according NP capacity </t>
        </r>
      </text>
    </comment>
    <comment ref="M12" authorId="0">
      <text>
        <r>
          <rPr>
            <b/>
            <sz val="9"/>
            <color indexed="81"/>
            <rFont val="Tahoma"/>
            <family val="2"/>
          </rPr>
          <t>Jackson, Tricia:</t>
        </r>
        <r>
          <rPr>
            <sz val="9"/>
            <color indexed="81"/>
            <rFont val="Tahoma"/>
            <family val="2"/>
          </rPr>
          <t xml:space="preserve">
AMPD emissions for G1-G7 summed then distributed across all units</t>
        </r>
      </text>
    </comment>
    <comment ref="I13" authorId="0">
      <text>
        <r>
          <rPr>
            <b/>
            <sz val="9"/>
            <color indexed="81"/>
            <rFont val="Tahoma"/>
            <family val="2"/>
          </rPr>
          <t>Jackson, Tricia:</t>
        </r>
        <r>
          <rPr>
            <sz val="9"/>
            <color indexed="81"/>
            <rFont val="Tahoma"/>
            <family val="2"/>
          </rPr>
          <t xml:space="preserve">
CA+CT aggregated then distributed according NP capacity </t>
        </r>
      </text>
    </comment>
    <comment ref="M13" authorId="0">
      <text>
        <r>
          <rPr>
            <b/>
            <sz val="9"/>
            <color indexed="81"/>
            <rFont val="Tahoma"/>
            <family val="2"/>
          </rPr>
          <t>Jackson, Tricia:</t>
        </r>
        <r>
          <rPr>
            <sz val="9"/>
            <color indexed="81"/>
            <rFont val="Tahoma"/>
            <family val="2"/>
          </rPr>
          <t xml:space="preserve">
AMPD emissions for G1-G7 summed then distributed across all units</t>
        </r>
      </text>
    </comment>
    <comment ref="I14" authorId="0">
      <text>
        <r>
          <rPr>
            <b/>
            <sz val="9"/>
            <color indexed="81"/>
            <rFont val="Tahoma"/>
            <family val="2"/>
          </rPr>
          <t>Jackson, Tricia:</t>
        </r>
        <r>
          <rPr>
            <sz val="9"/>
            <color indexed="81"/>
            <rFont val="Tahoma"/>
            <family val="2"/>
          </rPr>
          <t xml:space="preserve">
CA+CT aggregated then distributed according NP capacity </t>
        </r>
      </text>
    </comment>
    <comment ref="M14" authorId="0">
      <text>
        <r>
          <rPr>
            <b/>
            <sz val="9"/>
            <color indexed="81"/>
            <rFont val="Tahoma"/>
            <family val="2"/>
          </rPr>
          <t>Jackson, Tricia:</t>
        </r>
        <r>
          <rPr>
            <sz val="9"/>
            <color indexed="81"/>
            <rFont val="Tahoma"/>
            <family val="2"/>
          </rPr>
          <t xml:space="preserve">
AMPD emissions for G1-G7 summed then distributed across all units</t>
        </r>
      </text>
    </comment>
    <comment ref="I15" authorId="0">
      <text>
        <r>
          <rPr>
            <b/>
            <sz val="9"/>
            <color indexed="81"/>
            <rFont val="Tahoma"/>
            <family val="2"/>
          </rPr>
          <t>Jackson, Tricia:</t>
        </r>
        <r>
          <rPr>
            <sz val="9"/>
            <color indexed="81"/>
            <rFont val="Tahoma"/>
            <family val="2"/>
          </rPr>
          <t xml:space="preserve">
CA+CT aggregated then distributed according NP capacity </t>
        </r>
      </text>
    </comment>
    <comment ref="M15" authorId="0">
      <text>
        <r>
          <rPr>
            <b/>
            <sz val="9"/>
            <color indexed="81"/>
            <rFont val="Tahoma"/>
            <family val="2"/>
          </rPr>
          <t>Jackson, Tricia:</t>
        </r>
        <r>
          <rPr>
            <sz val="9"/>
            <color indexed="81"/>
            <rFont val="Tahoma"/>
            <family val="2"/>
          </rPr>
          <t xml:space="preserve">
AMPD emissions for G1-G7 summed then distributed across all units</t>
        </r>
      </text>
    </comment>
    <comment ref="I16" authorId="0">
      <text>
        <r>
          <rPr>
            <b/>
            <sz val="9"/>
            <color indexed="81"/>
            <rFont val="Tahoma"/>
            <family val="2"/>
          </rPr>
          <t>Jackson, Tricia:</t>
        </r>
        <r>
          <rPr>
            <sz val="9"/>
            <color indexed="81"/>
            <rFont val="Tahoma"/>
            <family val="2"/>
          </rPr>
          <t xml:space="preserve">
CA+CT aggregated then distributed according NP capacity </t>
        </r>
      </text>
    </comment>
    <comment ref="M16" authorId="0">
      <text>
        <r>
          <rPr>
            <b/>
            <sz val="9"/>
            <color indexed="81"/>
            <rFont val="Tahoma"/>
            <family val="2"/>
          </rPr>
          <t>Jackson, Tricia:</t>
        </r>
        <r>
          <rPr>
            <sz val="9"/>
            <color indexed="81"/>
            <rFont val="Tahoma"/>
            <family val="2"/>
          </rPr>
          <t xml:space="preserve">
AMPD emissions for G1-G7 summed then distributed across all units</t>
        </r>
      </text>
    </comment>
    <comment ref="I17" authorId="0">
      <text>
        <r>
          <rPr>
            <b/>
            <sz val="9"/>
            <color indexed="81"/>
            <rFont val="Tahoma"/>
            <family val="2"/>
          </rPr>
          <t>Jackson, Tricia:</t>
        </r>
        <r>
          <rPr>
            <sz val="9"/>
            <color indexed="81"/>
            <rFont val="Tahoma"/>
            <family val="2"/>
          </rPr>
          <t xml:space="preserve">
CA+CT aggregated then distributed according NP capacity </t>
        </r>
      </text>
    </comment>
    <comment ref="M17" authorId="0">
      <text>
        <r>
          <rPr>
            <b/>
            <sz val="9"/>
            <color indexed="81"/>
            <rFont val="Tahoma"/>
            <family val="2"/>
          </rPr>
          <t>Jackson, Tricia:</t>
        </r>
        <r>
          <rPr>
            <sz val="9"/>
            <color indexed="81"/>
            <rFont val="Tahoma"/>
            <family val="2"/>
          </rPr>
          <t xml:space="preserve">
AMPD emissions for G1-G7 summed then distributed across all units</t>
        </r>
      </text>
    </comment>
    <comment ref="I18" authorId="0">
      <text>
        <r>
          <rPr>
            <b/>
            <sz val="9"/>
            <color indexed="81"/>
            <rFont val="Tahoma"/>
            <family val="2"/>
          </rPr>
          <t>Jackson, Tricia:</t>
        </r>
        <r>
          <rPr>
            <sz val="9"/>
            <color indexed="81"/>
            <rFont val="Tahoma"/>
            <family val="2"/>
          </rPr>
          <t xml:space="preserve">
CA+CT aggregated then distributed according NP capacity </t>
        </r>
      </text>
    </comment>
    <comment ref="M18" authorId="0">
      <text>
        <r>
          <rPr>
            <b/>
            <sz val="9"/>
            <color indexed="81"/>
            <rFont val="Tahoma"/>
            <family val="2"/>
          </rPr>
          <t>Jackson, Tricia:</t>
        </r>
        <r>
          <rPr>
            <sz val="9"/>
            <color indexed="81"/>
            <rFont val="Tahoma"/>
            <family val="2"/>
          </rPr>
          <t xml:space="preserve">
AMPD emissions for G1-G7 summed then distributed across all units</t>
        </r>
      </text>
    </comment>
    <comment ref="I19" authorId="0">
      <text>
        <r>
          <rPr>
            <b/>
            <sz val="9"/>
            <color indexed="81"/>
            <rFont val="Tahoma"/>
            <family val="2"/>
          </rPr>
          <t>Jackson, Tricia:</t>
        </r>
        <r>
          <rPr>
            <sz val="9"/>
            <color indexed="81"/>
            <rFont val="Tahoma"/>
            <family val="2"/>
          </rPr>
          <t xml:space="preserve">
CA+CT aggregated then distributed according NP capacity </t>
        </r>
      </text>
    </comment>
    <comment ref="M19" authorId="0">
      <text>
        <r>
          <rPr>
            <b/>
            <sz val="9"/>
            <color indexed="81"/>
            <rFont val="Tahoma"/>
            <family val="2"/>
          </rPr>
          <t>Jackson, Tricia:</t>
        </r>
        <r>
          <rPr>
            <sz val="9"/>
            <color indexed="81"/>
            <rFont val="Tahoma"/>
            <family val="2"/>
          </rPr>
          <t xml:space="preserve">
AMPD emissions for G1-G7 summed then distributed across all units</t>
        </r>
      </text>
    </comment>
    <comment ref="I20" authorId="0">
      <text>
        <r>
          <rPr>
            <b/>
            <sz val="9"/>
            <color indexed="81"/>
            <rFont val="Tahoma"/>
            <family val="2"/>
          </rPr>
          <t>Jackson, Tricia:</t>
        </r>
        <r>
          <rPr>
            <sz val="9"/>
            <color indexed="81"/>
            <rFont val="Tahoma"/>
            <family val="2"/>
          </rPr>
          <t xml:space="preserve">
CA+CT aggregated then distributed according NP capacity </t>
        </r>
      </text>
    </comment>
    <comment ref="M20"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1" authorId="0">
      <text>
        <r>
          <rPr>
            <b/>
            <sz val="9"/>
            <color indexed="81"/>
            <rFont val="Tahoma"/>
            <family val="2"/>
          </rPr>
          <t>Jackson, Tricia:</t>
        </r>
        <r>
          <rPr>
            <sz val="9"/>
            <color indexed="81"/>
            <rFont val="Tahoma"/>
            <family val="2"/>
          </rPr>
          <t xml:space="preserve">
CA+CT aggregated then distributed according NP capacity </t>
        </r>
      </text>
    </comment>
    <comment ref="M21"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2" authorId="0">
      <text>
        <r>
          <rPr>
            <b/>
            <sz val="9"/>
            <color indexed="81"/>
            <rFont val="Tahoma"/>
            <family val="2"/>
          </rPr>
          <t>Jackson, Tricia:</t>
        </r>
        <r>
          <rPr>
            <sz val="9"/>
            <color indexed="81"/>
            <rFont val="Tahoma"/>
            <family val="2"/>
          </rPr>
          <t xml:space="preserve">
CA+CT aggregated then distributed according NP capacity </t>
        </r>
      </text>
    </comment>
    <comment ref="M22"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3" authorId="0">
      <text>
        <r>
          <rPr>
            <b/>
            <sz val="9"/>
            <color indexed="81"/>
            <rFont val="Tahoma"/>
            <family val="2"/>
          </rPr>
          <t>Jackson, Tricia:</t>
        </r>
        <r>
          <rPr>
            <sz val="9"/>
            <color indexed="81"/>
            <rFont val="Tahoma"/>
            <family val="2"/>
          </rPr>
          <t xml:space="preserve">
CA+CT aggregated then distributed according NP capacity </t>
        </r>
      </text>
    </comment>
    <comment ref="M23"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4" authorId="0">
      <text>
        <r>
          <rPr>
            <b/>
            <sz val="9"/>
            <color indexed="81"/>
            <rFont val="Tahoma"/>
            <family val="2"/>
          </rPr>
          <t>Jackson, Tricia:</t>
        </r>
        <r>
          <rPr>
            <sz val="9"/>
            <color indexed="81"/>
            <rFont val="Tahoma"/>
            <family val="2"/>
          </rPr>
          <t xml:space="preserve">
CA+CT aggregated then distributed according NP capacity </t>
        </r>
      </text>
    </comment>
    <comment ref="M24"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5" authorId="0">
      <text>
        <r>
          <rPr>
            <b/>
            <sz val="9"/>
            <color indexed="81"/>
            <rFont val="Tahoma"/>
            <family val="2"/>
          </rPr>
          <t>Jackson, Tricia:</t>
        </r>
        <r>
          <rPr>
            <sz val="9"/>
            <color indexed="81"/>
            <rFont val="Tahoma"/>
            <family val="2"/>
          </rPr>
          <t xml:space="preserve">
CA+CT aggregated then distributed according NP capacity </t>
        </r>
      </text>
    </comment>
    <comment ref="M25"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6" authorId="0">
      <text>
        <r>
          <rPr>
            <b/>
            <sz val="9"/>
            <color indexed="81"/>
            <rFont val="Tahoma"/>
            <family val="2"/>
          </rPr>
          <t>Jackson, Tricia:</t>
        </r>
        <r>
          <rPr>
            <sz val="9"/>
            <color indexed="81"/>
            <rFont val="Tahoma"/>
            <family val="2"/>
          </rPr>
          <t xml:space="preserve">
CA+CT aggregated then distributed according NP capacity </t>
        </r>
      </text>
    </comment>
    <comment ref="J26"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M26" authorId="0">
      <text>
        <r>
          <rPr>
            <b/>
            <sz val="9"/>
            <color indexed="81"/>
            <rFont val="Tahoma"/>
            <family val="2"/>
          </rPr>
          <t>Jackson, Tricia:</t>
        </r>
        <r>
          <rPr>
            <sz val="9"/>
            <color indexed="81"/>
            <rFont val="Tahoma"/>
            <family val="2"/>
          </rPr>
          <t xml:space="preserve">
AMPD value of CT01 distributed across all units</t>
        </r>
      </text>
    </comment>
    <comment ref="I27" authorId="0">
      <text>
        <r>
          <rPr>
            <b/>
            <sz val="9"/>
            <color indexed="81"/>
            <rFont val="Tahoma"/>
            <family val="2"/>
          </rPr>
          <t>Jackson, Tricia:</t>
        </r>
        <r>
          <rPr>
            <sz val="9"/>
            <color indexed="81"/>
            <rFont val="Tahoma"/>
            <family val="2"/>
          </rPr>
          <t xml:space="preserve">
CA+CT aggregated then distributed according NP capacity </t>
        </r>
      </text>
    </comment>
    <comment ref="J27"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M27" authorId="0">
      <text>
        <r>
          <rPr>
            <b/>
            <sz val="9"/>
            <color indexed="81"/>
            <rFont val="Tahoma"/>
            <family val="2"/>
          </rPr>
          <t>Jackson, Tricia:</t>
        </r>
        <r>
          <rPr>
            <sz val="9"/>
            <color indexed="81"/>
            <rFont val="Tahoma"/>
            <family val="2"/>
          </rPr>
          <t xml:space="preserve">
AMPD value of CT01 distributed across all units</t>
        </r>
      </text>
    </comment>
    <comment ref="I28" authorId="0">
      <text>
        <r>
          <rPr>
            <b/>
            <sz val="9"/>
            <color indexed="81"/>
            <rFont val="Tahoma"/>
            <family val="2"/>
          </rPr>
          <t>Jackson, Tricia:</t>
        </r>
        <r>
          <rPr>
            <sz val="9"/>
            <color indexed="81"/>
            <rFont val="Tahoma"/>
            <family val="2"/>
          </rPr>
          <t xml:space="preserve">
CA+CT aggregated then distributed according NP capacity </t>
        </r>
      </text>
    </comment>
    <comment ref="M28" authorId="0">
      <text>
        <r>
          <rPr>
            <b/>
            <sz val="9"/>
            <color indexed="81"/>
            <rFont val="Tahoma"/>
            <family val="2"/>
          </rPr>
          <t>Jackson, Tricia:</t>
        </r>
        <r>
          <rPr>
            <sz val="9"/>
            <color indexed="81"/>
            <rFont val="Tahoma"/>
            <family val="2"/>
          </rPr>
          <t xml:space="preserve">
AMPD value for unit 2 distributed across all units</t>
        </r>
      </text>
    </comment>
    <comment ref="I29" authorId="0">
      <text>
        <r>
          <rPr>
            <b/>
            <sz val="9"/>
            <color indexed="81"/>
            <rFont val="Tahoma"/>
            <family val="2"/>
          </rPr>
          <t>Jackson, Tricia:</t>
        </r>
        <r>
          <rPr>
            <sz val="9"/>
            <color indexed="81"/>
            <rFont val="Tahoma"/>
            <family val="2"/>
          </rPr>
          <t xml:space="preserve">
CA+CT aggregated then distributed according NP capacity </t>
        </r>
      </text>
    </comment>
    <comment ref="M29" authorId="0">
      <text>
        <r>
          <rPr>
            <b/>
            <sz val="9"/>
            <color indexed="81"/>
            <rFont val="Tahoma"/>
            <family val="2"/>
          </rPr>
          <t>Jackson, Tricia:</t>
        </r>
        <r>
          <rPr>
            <sz val="9"/>
            <color indexed="81"/>
            <rFont val="Tahoma"/>
            <family val="2"/>
          </rPr>
          <t xml:space="preserve">
AMPD value for unit 2 distributed across all units</t>
        </r>
      </text>
    </comment>
    <comment ref="I30" authorId="0">
      <text>
        <r>
          <rPr>
            <b/>
            <sz val="9"/>
            <color indexed="81"/>
            <rFont val="Tahoma"/>
            <family val="2"/>
          </rPr>
          <t>Jackson, Tricia:</t>
        </r>
        <r>
          <rPr>
            <sz val="9"/>
            <color indexed="81"/>
            <rFont val="Tahoma"/>
            <family val="2"/>
          </rPr>
          <t xml:space="preserve">
CA+CT aggregated then distributed according NP capacity </t>
        </r>
      </text>
    </comment>
    <comment ref="M30"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1" authorId="0">
      <text>
        <r>
          <rPr>
            <b/>
            <sz val="9"/>
            <color indexed="81"/>
            <rFont val="Tahoma"/>
            <family val="2"/>
          </rPr>
          <t>Jackson, Tricia:</t>
        </r>
        <r>
          <rPr>
            <sz val="9"/>
            <color indexed="81"/>
            <rFont val="Tahoma"/>
            <family val="2"/>
          </rPr>
          <t xml:space="preserve">
CA+CT aggregated then distributed according NP capacity </t>
        </r>
      </text>
    </comment>
    <comment ref="M3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2" authorId="0">
      <text>
        <r>
          <rPr>
            <b/>
            <sz val="9"/>
            <color indexed="81"/>
            <rFont val="Tahoma"/>
            <family val="2"/>
          </rPr>
          <t>Jackson, Tricia:</t>
        </r>
        <r>
          <rPr>
            <sz val="9"/>
            <color indexed="81"/>
            <rFont val="Tahoma"/>
            <family val="2"/>
          </rPr>
          <t xml:space="preserve">
CA+CT aggregated then distributed according NP capacity </t>
        </r>
      </text>
    </comment>
    <comment ref="M32"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3" authorId="0">
      <text>
        <r>
          <rPr>
            <b/>
            <sz val="9"/>
            <color indexed="81"/>
            <rFont val="Tahoma"/>
            <family val="2"/>
          </rPr>
          <t>Jackson, Tricia:</t>
        </r>
        <r>
          <rPr>
            <sz val="9"/>
            <color indexed="81"/>
            <rFont val="Tahoma"/>
            <family val="2"/>
          </rPr>
          <t xml:space="preserve">
CA+CT aggregated then distributed according NP capacity </t>
        </r>
      </text>
    </comment>
    <comment ref="M33"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4" authorId="0">
      <text>
        <r>
          <rPr>
            <b/>
            <sz val="9"/>
            <color indexed="81"/>
            <rFont val="Tahoma"/>
            <family val="2"/>
          </rPr>
          <t>Jackson, Tricia:</t>
        </r>
        <r>
          <rPr>
            <sz val="9"/>
            <color indexed="81"/>
            <rFont val="Tahoma"/>
            <family val="2"/>
          </rPr>
          <t xml:space="preserve">
CA+CT aggregated then distributed according NP capacity </t>
        </r>
      </text>
    </comment>
    <comment ref="M34"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5" authorId="0">
      <text>
        <r>
          <rPr>
            <b/>
            <sz val="9"/>
            <color indexed="81"/>
            <rFont val="Tahoma"/>
            <family val="2"/>
          </rPr>
          <t>Jackson, Tricia:</t>
        </r>
        <r>
          <rPr>
            <sz val="9"/>
            <color indexed="81"/>
            <rFont val="Tahoma"/>
            <family val="2"/>
          </rPr>
          <t xml:space="preserve">
CA+CT aggregated then distributed according NP capacity </t>
        </r>
      </text>
    </comment>
    <comment ref="M35"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6" authorId="0">
      <text>
        <r>
          <rPr>
            <b/>
            <sz val="9"/>
            <color indexed="81"/>
            <rFont val="Tahoma"/>
            <family val="2"/>
          </rPr>
          <t>Jackson, Tricia:</t>
        </r>
        <r>
          <rPr>
            <sz val="9"/>
            <color indexed="81"/>
            <rFont val="Tahoma"/>
            <family val="2"/>
          </rPr>
          <t xml:space="preserve">
CA+CT aggregated then distributed according NP capacity </t>
        </r>
      </text>
    </comment>
    <comment ref="M36"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7" authorId="0">
      <text>
        <r>
          <rPr>
            <b/>
            <sz val="9"/>
            <color indexed="81"/>
            <rFont val="Tahoma"/>
            <family val="2"/>
          </rPr>
          <t>Jackson, Tricia:</t>
        </r>
        <r>
          <rPr>
            <sz val="9"/>
            <color indexed="81"/>
            <rFont val="Tahoma"/>
            <family val="2"/>
          </rPr>
          <t xml:space="preserve">
CA+CT aggregated then distributed according NP capacity </t>
        </r>
      </text>
    </comment>
    <comment ref="M37"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8" authorId="0">
      <text>
        <r>
          <rPr>
            <b/>
            <sz val="9"/>
            <color indexed="81"/>
            <rFont val="Tahoma"/>
            <family val="2"/>
          </rPr>
          <t>Jackson, Tricia:</t>
        </r>
        <r>
          <rPr>
            <sz val="9"/>
            <color indexed="81"/>
            <rFont val="Tahoma"/>
            <family val="2"/>
          </rPr>
          <t xml:space="preserve">
CA+CT aggregated then distributed according NP capacity </t>
        </r>
      </text>
    </comment>
    <comment ref="M38"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9" authorId="0">
      <text>
        <r>
          <rPr>
            <b/>
            <sz val="9"/>
            <color indexed="81"/>
            <rFont val="Tahoma"/>
            <family val="2"/>
          </rPr>
          <t>Jackson, Tricia:</t>
        </r>
        <r>
          <rPr>
            <sz val="9"/>
            <color indexed="81"/>
            <rFont val="Tahoma"/>
            <family val="2"/>
          </rPr>
          <t xml:space="preserve">
CA+CT aggregated then distributed according NP capacity </t>
        </r>
      </text>
    </comment>
    <comment ref="M39"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40" authorId="0">
      <text>
        <r>
          <rPr>
            <b/>
            <sz val="9"/>
            <color indexed="81"/>
            <rFont val="Tahoma"/>
            <family val="2"/>
          </rPr>
          <t>Jackson, Tricia:</t>
        </r>
        <r>
          <rPr>
            <sz val="9"/>
            <color indexed="81"/>
            <rFont val="Tahoma"/>
            <family val="2"/>
          </rPr>
          <t xml:space="preserve">
CA+CT aggregated then distributed according NP capacity </t>
        </r>
      </text>
    </comment>
    <comment ref="M40"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41" authorId="0">
      <text>
        <r>
          <rPr>
            <b/>
            <sz val="9"/>
            <color indexed="81"/>
            <rFont val="Tahoma"/>
            <family val="2"/>
          </rPr>
          <t>Jackson, Tricia:</t>
        </r>
        <r>
          <rPr>
            <sz val="9"/>
            <color indexed="81"/>
            <rFont val="Tahoma"/>
            <family val="2"/>
          </rPr>
          <t xml:space="preserve">
CA+CT aggregated then distributed according NP capacity </t>
        </r>
      </text>
    </comment>
    <comment ref="M4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42" authorId="0">
      <text>
        <r>
          <rPr>
            <b/>
            <sz val="9"/>
            <color indexed="81"/>
            <rFont val="Tahoma"/>
            <family val="2"/>
          </rPr>
          <t>Jackson, Tricia:</t>
        </r>
        <r>
          <rPr>
            <sz val="9"/>
            <color indexed="81"/>
            <rFont val="Tahoma"/>
            <family val="2"/>
          </rPr>
          <t xml:space="preserve">
Source: EIA 923 Generator</t>
        </r>
      </text>
    </comment>
    <comment ref="M42" authorId="0">
      <text>
        <r>
          <rPr>
            <b/>
            <sz val="9"/>
            <color indexed="81"/>
            <rFont val="Tahoma"/>
            <family val="2"/>
          </rPr>
          <t>Jackson, Tricia:</t>
        </r>
        <r>
          <rPr>
            <sz val="9"/>
            <color indexed="81"/>
            <rFont val="Tahoma"/>
            <family val="2"/>
          </rPr>
          <t xml:space="preserve">
Source: AMPD</t>
        </r>
      </text>
    </comment>
    <comment ref="I43" authorId="0">
      <text>
        <r>
          <rPr>
            <b/>
            <sz val="9"/>
            <color indexed="81"/>
            <rFont val="Tahoma"/>
            <family val="2"/>
          </rPr>
          <t>Jackson, Tricia:</t>
        </r>
        <r>
          <rPr>
            <sz val="9"/>
            <color indexed="81"/>
            <rFont val="Tahoma"/>
            <family val="2"/>
          </rPr>
          <t xml:space="preserve">
Source: EIA 923 Generator</t>
        </r>
      </text>
    </comment>
    <comment ref="M43" authorId="0">
      <text>
        <r>
          <rPr>
            <b/>
            <sz val="9"/>
            <color indexed="81"/>
            <rFont val="Tahoma"/>
            <family val="2"/>
          </rPr>
          <t>Jackson, Tricia:</t>
        </r>
        <r>
          <rPr>
            <sz val="9"/>
            <color indexed="81"/>
            <rFont val="Tahoma"/>
            <family val="2"/>
          </rPr>
          <t xml:space="preserve">
Source: Emissions estimates from EIA923 Boiler</t>
        </r>
      </text>
    </comment>
    <comment ref="I44" authorId="0">
      <text>
        <r>
          <rPr>
            <b/>
            <sz val="9"/>
            <color indexed="81"/>
            <rFont val="Tahoma"/>
            <family val="2"/>
          </rPr>
          <t>Jackson, Tricia:</t>
        </r>
        <r>
          <rPr>
            <sz val="9"/>
            <color indexed="81"/>
            <rFont val="Tahoma"/>
            <family val="2"/>
          </rPr>
          <t xml:space="preserve">
Source: EIA 923 Generator</t>
        </r>
      </text>
    </comment>
    <comment ref="M44" authorId="0">
      <text>
        <r>
          <rPr>
            <b/>
            <sz val="9"/>
            <color indexed="81"/>
            <rFont val="Tahoma"/>
            <family val="2"/>
          </rPr>
          <t>Jackson, Tricia:</t>
        </r>
        <r>
          <rPr>
            <sz val="9"/>
            <color indexed="81"/>
            <rFont val="Tahoma"/>
            <family val="2"/>
          </rPr>
          <t xml:space="preserve">
Source: AMPD</t>
        </r>
      </text>
    </comment>
  </commentList>
</comments>
</file>

<file path=xl/comments3.xml><?xml version="1.0" encoding="utf-8"?>
<comments xmlns="http://schemas.openxmlformats.org/spreadsheetml/2006/main">
  <authors>
    <author>Jackson, Tricia</author>
  </authors>
  <commentList>
    <comment ref="I2" authorId="0">
      <text>
        <r>
          <rPr>
            <b/>
            <sz val="9"/>
            <color indexed="81"/>
            <rFont val="Tahoma"/>
            <family val="2"/>
          </rPr>
          <t>Jackson, Tricia:</t>
        </r>
        <r>
          <rPr>
            <sz val="9"/>
            <color indexed="81"/>
            <rFont val="Tahoma"/>
            <family val="2"/>
          </rPr>
          <t xml:space="preserve">
Data Source: EIA 923 Generator Data</t>
        </r>
      </text>
    </comment>
    <comment ref="M2" authorId="0">
      <text>
        <r>
          <rPr>
            <b/>
            <sz val="9"/>
            <color indexed="81"/>
            <rFont val="Tahoma"/>
            <family val="2"/>
          </rPr>
          <t>Jackson, Tricia:</t>
        </r>
        <r>
          <rPr>
            <sz val="9"/>
            <color indexed="81"/>
            <rFont val="Tahoma"/>
            <family val="2"/>
          </rPr>
          <t xml:space="preserve">
Data Source: AMPD</t>
        </r>
      </text>
    </comment>
    <comment ref="I3" authorId="0">
      <text>
        <r>
          <rPr>
            <b/>
            <sz val="9"/>
            <color indexed="81"/>
            <rFont val="Tahoma"/>
            <family val="2"/>
          </rPr>
          <t>Jackson, Tricia:</t>
        </r>
        <r>
          <rPr>
            <sz val="9"/>
            <color indexed="81"/>
            <rFont val="Tahoma"/>
            <family val="2"/>
          </rPr>
          <t xml:space="preserve">
Data Source: EIA 923 Generator Data</t>
        </r>
      </text>
    </comment>
    <comment ref="M3" authorId="0">
      <text>
        <r>
          <rPr>
            <b/>
            <sz val="9"/>
            <color indexed="81"/>
            <rFont val="Tahoma"/>
            <family val="2"/>
          </rPr>
          <t>Jackson, Tricia:</t>
        </r>
        <r>
          <rPr>
            <sz val="9"/>
            <color indexed="81"/>
            <rFont val="Tahoma"/>
            <family val="2"/>
          </rPr>
          <t xml:space="preserve">
Data Source: AMPD</t>
        </r>
      </text>
    </comment>
    <comment ref="I4" authorId="0">
      <text>
        <r>
          <rPr>
            <b/>
            <sz val="9"/>
            <color indexed="81"/>
            <rFont val="Tahoma"/>
            <family val="2"/>
          </rPr>
          <t>Jackson, Tricia:</t>
        </r>
        <r>
          <rPr>
            <sz val="9"/>
            <color indexed="81"/>
            <rFont val="Tahoma"/>
            <family val="2"/>
          </rPr>
          <t xml:space="preserve">
Data Source: EIA 923 Generator Data</t>
        </r>
      </text>
    </comment>
    <comment ref="M4" authorId="0">
      <text>
        <r>
          <rPr>
            <b/>
            <sz val="9"/>
            <color indexed="81"/>
            <rFont val="Tahoma"/>
            <family val="2"/>
          </rPr>
          <t>Jackson, Tricia:</t>
        </r>
        <r>
          <rPr>
            <sz val="9"/>
            <color indexed="81"/>
            <rFont val="Tahoma"/>
            <family val="2"/>
          </rPr>
          <t xml:space="preserve">
Data Source: AMPD</t>
        </r>
      </text>
    </comment>
    <comment ref="I5" authorId="0">
      <text>
        <r>
          <rPr>
            <b/>
            <sz val="9"/>
            <color indexed="81"/>
            <rFont val="Tahoma"/>
            <family val="2"/>
          </rPr>
          <t>Jackson, Tricia:</t>
        </r>
        <r>
          <rPr>
            <sz val="9"/>
            <color indexed="81"/>
            <rFont val="Tahoma"/>
            <family val="2"/>
          </rPr>
          <t xml:space="preserve">
Data Source: EIA 923 Generator Data</t>
        </r>
      </text>
    </comment>
    <comment ref="M5" authorId="0">
      <text>
        <r>
          <rPr>
            <b/>
            <sz val="9"/>
            <color indexed="81"/>
            <rFont val="Tahoma"/>
            <family val="2"/>
          </rPr>
          <t>Jackson, Tricia:</t>
        </r>
        <r>
          <rPr>
            <sz val="9"/>
            <color indexed="81"/>
            <rFont val="Tahoma"/>
            <family val="2"/>
          </rPr>
          <t xml:space="preserve">
Data Source: AMPD</t>
        </r>
      </text>
    </comment>
    <comment ref="I6" authorId="0">
      <text>
        <r>
          <rPr>
            <b/>
            <sz val="9"/>
            <color indexed="81"/>
            <rFont val="Tahoma"/>
            <family val="2"/>
          </rPr>
          <t>Jackson, Tricia:</t>
        </r>
        <r>
          <rPr>
            <sz val="9"/>
            <color indexed="81"/>
            <rFont val="Tahoma"/>
            <family val="2"/>
          </rPr>
          <t xml:space="preserve">
Data Source: EIA 923 Generator Data</t>
        </r>
      </text>
    </comment>
    <comment ref="M6" authorId="0">
      <text>
        <r>
          <rPr>
            <b/>
            <sz val="9"/>
            <color indexed="81"/>
            <rFont val="Tahoma"/>
            <family val="2"/>
          </rPr>
          <t>Jackson, Tricia:</t>
        </r>
        <r>
          <rPr>
            <sz val="9"/>
            <color indexed="81"/>
            <rFont val="Tahoma"/>
            <family val="2"/>
          </rPr>
          <t xml:space="preserve">
Data Source: AMPD</t>
        </r>
      </text>
    </comment>
    <comment ref="I7" authorId="0">
      <text>
        <r>
          <rPr>
            <b/>
            <sz val="9"/>
            <color indexed="81"/>
            <rFont val="Tahoma"/>
            <family val="2"/>
          </rPr>
          <t>Jackson, Tricia:</t>
        </r>
        <r>
          <rPr>
            <sz val="9"/>
            <color indexed="81"/>
            <rFont val="Tahoma"/>
            <family val="2"/>
          </rPr>
          <t xml:space="preserve">
Data Source: EIA 923 Generator Data</t>
        </r>
      </text>
    </comment>
    <comment ref="M7" authorId="0">
      <text>
        <r>
          <rPr>
            <b/>
            <sz val="9"/>
            <color indexed="81"/>
            <rFont val="Tahoma"/>
            <family val="2"/>
          </rPr>
          <t>Jackson, Tricia:</t>
        </r>
        <r>
          <rPr>
            <sz val="9"/>
            <color indexed="81"/>
            <rFont val="Tahoma"/>
            <family val="2"/>
          </rPr>
          <t xml:space="preserve">
Data Source: AMPD</t>
        </r>
      </text>
    </comment>
    <comment ref="I8" authorId="0">
      <text>
        <r>
          <rPr>
            <b/>
            <sz val="9"/>
            <color indexed="81"/>
            <rFont val="Tahoma"/>
            <family val="2"/>
          </rPr>
          <t>Jackson, Tricia:</t>
        </r>
        <r>
          <rPr>
            <sz val="9"/>
            <color indexed="81"/>
            <rFont val="Tahoma"/>
            <family val="2"/>
          </rPr>
          <t xml:space="preserve">
CA+CT aggregated then distributed according NP capacity </t>
        </r>
      </text>
    </comment>
    <comment ref="M8"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9" authorId="0">
      <text>
        <r>
          <rPr>
            <b/>
            <sz val="9"/>
            <color indexed="81"/>
            <rFont val="Tahoma"/>
            <family val="2"/>
          </rPr>
          <t>Jackson, Tricia:</t>
        </r>
        <r>
          <rPr>
            <sz val="9"/>
            <color indexed="81"/>
            <rFont val="Tahoma"/>
            <family val="2"/>
          </rPr>
          <t xml:space="preserve">
CA+CT aggregated then distributed according NP capacity </t>
        </r>
      </text>
    </comment>
    <comment ref="M9"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10" authorId="0">
      <text>
        <r>
          <rPr>
            <b/>
            <sz val="9"/>
            <color indexed="81"/>
            <rFont val="Tahoma"/>
            <family val="2"/>
          </rPr>
          <t>Jackson, Tricia:</t>
        </r>
        <r>
          <rPr>
            <sz val="9"/>
            <color indexed="81"/>
            <rFont val="Tahoma"/>
            <family val="2"/>
          </rPr>
          <t xml:space="preserve">
CA+CT aggregated then distributed according NP capacity </t>
        </r>
      </text>
    </comment>
    <comment ref="M10"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I11" authorId="0">
      <text>
        <r>
          <rPr>
            <b/>
            <sz val="9"/>
            <color indexed="81"/>
            <rFont val="Tahoma"/>
            <family val="2"/>
          </rPr>
          <t>Jackson, Tricia:</t>
        </r>
        <r>
          <rPr>
            <sz val="9"/>
            <color indexed="81"/>
            <rFont val="Tahoma"/>
            <family val="2"/>
          </rPr>
          <t xml:space="preserve">
CA+CT aggregated then distributed according NP capacity </t>
        </r>
      </text>
    </comment>
    <comment ref="M11" authorId="0">
      <text>
        <r>
          <rPr>
            <b/>
            <sz val="9"/>
            <color indexed="81"/>
            <rFont val="Tahoma"/>
            <family val="2"/>
          </rPr>
          <t>Jackson, Tricia:</t>
        </r>
        <r>
          <rPr>
            <sz val="9"/>
            <color indexed="81"/>
            <rFont val="Tahoma"/>
            <family val="2"/>
          </rPr>
          <t xml:space="preserve">
AMPD emissions for G1-G7 summed then distributed across all units</t>
        </r>
      </text>
    </comment>
    <comment ref="I12" authorId="0">
      <text>
        <r>
          <rPr>
            <b/>
            <sz val="9"/>
            <color indexed="81"/>
            <rFont val="Tahoma"/>
            <family val="2"/>
          </rPr>
          <t>Jackson, Tricia:</t>
        </r>
        <r>
          <rPr>
            <sz val="9"/>
            <color indexed="81"/>
            <rFont val="Tahoma"/>
            <family val="2"/>
          </rPr>
          <t xml:space="preserve">
CA+CT aggregated then distributed according NP capacity </t>
        </r>
      </text>
    </comment>
    <comment ref="M12" authorId="0">
      <text>
        <r>
          <rPr>
            <b/>
            <sz val="9"/>
            <color indexed="81"/>
            <rFont val="Tahoma"/>
            <family val="2"/>
          </rPr>
          <t>Jackson, Tricia:</t>
        </r>
        <r>
          <rPr>
            <sz val="9"/>
            <color indexed="81"/>
            <rFont val="Tahoma"/>
            <family val="2"/>
          </rPr>
          <t xml:space="preserve">
AMPD emissions for G1-G7 summed then distributed across all units</t>
        </r>
      </text>
    </comment>
    <comment ref="I13" authorId="0">
      <text>
        <r>
          <rPr>
            <b/>
            <sz val="9"/>
            <color indexed="81"/>
            <rFont val="Tahoma"/>
            <family val="2"/>
          </rPr>
          <t>Jackson, Tricia:</t>
        </r>
        <r>
          <rPr>
            <sz val="9"/>
            <color indexed="81"/>
            <rFont val="Tahoma"/>
            <family val="2"/>
          </rPr>
          <t xml:space="preserve">
CA+CT aggregated then distributed according NP capacity </t>
        </r>
      </text>
    </comment>
    <comment ref="M13" authorId="0">
      <text>
        <r>
          <rPr>
            <b/>
            <sz val="9"/>
            <color indexed="81"/>
            <rFont val="Tahoma"/>
            <family val="2"/>
          </rPr>
          <t>Jackson, Tricia:</t>
        </r>
        <r>
          <rPr>
            <sz val="9"/>
            <color indexed="81"/>
            <rFont val="Tahoma"/>
            <family val="2"/>
          </rPr>
          <t xml:space="preserve">
AMPD emissions for G1-G7 summed then distributed across all units</t>
        </r>
      </text>
    </comment>
    <comment ref="I14" authorId="0">
      <text>
        <r>
          <rPr>
            <b/>
            <sz val="9"/>
            <color indexed="81"/>
            <rFont val="Tahoma"/>
            <family val="2"/>
          </rPr>
          <t>Jackson, Tricia:</t>
        </r>
        <r>
          <rPr>
            <sz val="9"/>
            <color indexed="81"/>
            <rFont val="Tahoma"/>
            <family val="2"/>
          </rPr>
          <t xml:space="preserve">
CA+CT aggregated then distributed according NP capacity </t>
        </r>
      </text>
    </comment>
    <comment ref="M14" authorId="0">
      <text>
        <r>
          <rPr>
            <b/>
            <sz val="9"/>
            <color indexed="81"/>
            <rFont val="Tahoma"/>
            <family val="2"/>
          </rPr>
          <t>Jackson, Tricia:</t>
        </r>
        <r>
          <rPr>
            <sz val="9"/>
            <color indexed="81"/>
            <rFont val="Tahoma"/>
            <family val="2"/>
          </rPr>
          <t xml:space="preserve">
AMPD emissions for G1-G7 summed then distributed across all units</t>
        </r>
      </text>
    </comment>
    <comment ref="I15" authorId="0">
      <text>
        <r>
          <rPr>
            <b/>
            <sz val="9"/>
            <color indexed="81"/>
            <rFont val="Tahoma"/>
            <family val="2"/>
          </rPr>
          <t>Jackson, Tricia:</t>
        </r>
        <r>
          <rPr>
            <sz val="9"/>
            <color indexed="81"/>
            <rFont val="Tahoma"/>
            <family val="2"/>
          </rPr>
          <t xml:space="preserve">
CA+CT aggregated then distributed according NP capacity </t>
        </r>
      </text>
    </comment>
    <comment ref="M15" authorId="0">
      <text>
        <r>
          <rPr>
            <b/>
            <sz val="9"/>
            <color indexed="81"/>
            <rFont val="Tahoma"/>
            <family val="2"/>
          </rPr>
          <t>Jackson, Tricia:</t>
        </r>
        <r>
          <rPr>
            <sz val="9"/>
            <color indexed="81"/>
            <rFont val="Tahoma"/>
            <family val="2"/>
          </rPr>
          <t xml:space="preserve">
AMPD emissions for G1-G7 summed then distributed across all units</t>
        </r>
      </text>
    </comment>
    <comment ref="I16" authorId="0">
      <text>
        <r>
          <rPr>
            <b/>
            <sz val="9"/>
            <color indexed="81"/>
            <rFont val="Tahoma"/>
            <family val="2"/>
          </rPr>
          <t>Jackson, Tricia:</t>
        </r>
        <r>
          <rPr>
            <sz val="9"/>
            <color indexed="81"/>
            <rFont val="Tahoma"/>
            <family val="2"/>
          </rPr>
          <t xml:space="preserve">
CA+CT aggregated then distributed according NP capacity </t>
        </r>
      </text>
    </comment>
    <comment ref="M16" authorId="0">
      <text>
        <r>
          <rPr>
            <b/>
            <sz val="9"/>
            <color indexed="81"/>
            <rFont val="Tahoma"/>
            <family val="2"/>
          </rPr>
          <t>Jackson, Tricia:</t>
        </r>
        <r>
          <rPr>
            <sz val="9"/>
            <color indexed="81"/>
            <rFont val="Tahoma"/>
            <family val="2"/>
          </rPr>
          <t xml:space="preserve">
AMPD emissions for G1-G7 summed then distributed across all units</t>
        </r>
      </text>
    </comment>
    <comment ref="I17" authorId="0">
      <text>
        <r>
          <rPr>
            <b/>
            <sz val="9"/>
            <color indexed="81"/>
            <rFont val="Tahoma"/>
            <family val="2"/>
          </rPr>
          <t>Jackson, Tricia:</t>
        </r>
        <r>
          <rPr>
            <sz val="9"/>
            <color indexed="81"/>
            <rFont val="Tahoma"/>
            <family val="2"/>
          </rPr>
          <t xml:space="preserve">
CA+CT aggregated then distributed according NP capacity </t>
        </r>
      </text>
    </comment>
    <comment ref="M17" authorId="0">
      <text>
        <r>
          <rPr>
            <b/>
            <sz val="9"/>
            <color indexed="81"/>
            <rFont val="Tahoma"/>
            <family val="2"/>
          </rPr>
          <t>Jackson, Tricia:</t>
        </r>
        <r>
          <rPr>
            <sz val="9"/>
            <color indexed="81"/>
            <rFont val="Tahoma"/>
            <family val="2"/>
          </rPr>
          <t xml:space="preserve">
AMPD emissions for G1-G7 summed then distributed across all units</t>
        </r>
      </text>
    </comment>
    <comment ref="I18" authorId="0">
      <text>
        <r>
          <rPr>
            <b/>
            <sz val="9"/>
            <color indexed="81"/>
            <rFont val="Tahoma"/>
            <family val="2"/>
          </rPr>
          <t>Jackson, Tricia:</t>
        </r>
        <r>
          <rPr>
            <sz val="9"/>
            <color indexed="81"/>
            <rFont val="Tahoma"/>
            <family val="2"/>
          </rPr>
          <t xml:space="preserve">
CA+CT aggregated then distributed according NP capacity </t>
        </r>
      </text>
    </comment>
    <comment ref="M18" authorId="0">
      <text>
        <r>
          <rPr>
            <b/>
            <sz val="9"/>
            <color indexed="81"/>
            <rFont val="Tahoma"/>
            <family val="2"/>
          </rPr>
          <t>Jackson, Tricia:</t>
        </r>
        <r>
          <rPr>
            <sz val="9"/>
            <color indexed="81"/>
            <rFont val="Tahoma"/>
            <family val="2"/>
          </rPr>
          <t xml:space="preserve">
AMPD emissions for G1-G7 summed then distributed across all units</t>
        </r>
      </text>
    </comment>
    <comment ref="I19" authorId="0">
      <text>
        <r>
          <rPr>
            <b/>
            <sz val="9"/>
            <color indexed="81"/>
            <rFont val="Tahoma"/>
            <family val="2"/>
          </rPr>
          <t>Jackson, Tricia:</t>
        </r>
        <r>
          <rPr>
            <sz val="9"/>
            <color indexed="81"/>
            <rFont val="Tahoma"/>
            <family val="2"/>
          </rPr>
          <t xml:space="preserve">
CA+CT aggregated then distributed according NP capacity </t>
        </r>
      </text>
    </comment>
    <comment ref="M19" authorId="0">
      <text>
        <r>
          <rPr>
            <b/>
            <sz val="9"/>
            <color indexed="81"/>
            <rFont val="Tahoma"/>
            <family val="2"/>
          </rPr>
          <t>Jackson, Tricia:</t>
        </r>
        <r>
          <rPr>
            <sz val="9"/>
            <color indexed="81"/>
            <rFont val="Tahoma"/>
            <family val="2"/>
          </rPr>
          <t xml:space="preserve">
AMPD emissions for G1-G7 summed then distributed across all units</t>
        </r>
      </text>
    </comment>
    <comment ref="I20" authorId="0">
      <text>
        <r>
          <rPr>
            <b/>
            <sz val="9"/>
            <color indexed="81"/>
            <rFont val="Tahoma"/>
            <family val="2"/>
          </rPr>
          <t>Jackson, Tricia:</t>
        </r>
        <r>
          <rPr>
            <sz val="9"/>
            <color indexed="81"/>
            <rFont val="Tahoma"/>
            <family val="2"/>
          </rPr>
          <t xml:space="preserve">
CA+CT aggregated then distributed according NP capacity </t>
        </r>
      </text>
    </comment>
    <comment ref="M20"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1" authorId="0">
      <text>
        <r>
          <rPr>
            <b/>
            <sz val="9"/>
            <color indexed="81"/>
            <rFont val="Tahoma"/>
            <family val="2"/>
          </rPr>
          <t>Jackson, Tricia:</t>
        </r>
        <r>
          <rPr>
            <sz val="9"/>
            <color indexed="81"/>
            <rFont val="Tahoma"/>
            <family val="2"/>
          </rPr>
          <t xml:space="preserve">
CA+CT aggregated then distributed according NP capacity </t>
        </r>
      </text>
    </comment>
    <comment ref="M21"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2" authorId="0">
      <text>
        <r>
          <rPr>
            <b/>
            <sz val="9"/>
            <color indexed="81"/>
            <rFont val="Tahoma"/>
            <family val="2"/>
          </rPr>
          <t>Jackson, Tricia:</t>
        </r>
        <r>
          <rPr>
            <sz val="9"/>
            <color indexed="81"/>
            <rFont val="Tahoma"/>
            <family val="2"/>
          </rPr>
          <t xml:space="preserve">
CA+CT aggregated then distributed according NP capacity </t>
        </r>
      </text>
    </comment>
    <comment ref="M22"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I23" authorId="0">
      <text>
        <r>
          <rPr>
            <b/>
            <sz val="9"/>
            <color indexed="81"/>
            <rFont val="Tahoma"/>
            <family val="2"/>
          </rPr>
          <t>Jackson, Tricia:</t>
        </r>
        <r>
          <rPr>
            <sz val="9"/>
            <color indexed="81"/>
            <rFont val="Tahoma"/>
            <family val="2"/>
          </rPr>
          <t xml:space="preserve">
CA+CT aggregated then distributed according NP capacity </t>
        </r>
      </text>
    </comment>
    <comment ref="M23"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4" authorId="0">
      <text>
        <r>
          <rPr>
            <b/>
            <sz val="9"/>
            <color indexed="81"/>
            <rFont val="Tahoma"/>
            <family val="2"/>
          </rPr>
          <t>Jackson, Tricia:</t>
        </r>
        <r>
          <rPr>
            <sz val="9"/>
            <color indexed="81"/>
            <rFont val="Tahoma"/>
            <family val="2"/>
          </rPr>
          <t xml:space="preserve">
CA+CT aggregated then distributed according NP capacity </t>
        </r>
      </text>
    </comment>
    <comment ref="M24"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5" authorId="0">
      <text>
        <r>
          <rPr>
            <b/>
            <sz val="9"/>
            <color indexed="81"/>
            <rFont val="Tahoma"/>
            <family val="2"/>
          </rPr>
          <t>Jackson, Tricia:</t>
        </r>
        <r>
          <rPr>
            <sz val="9"/>
            <color indexed="81"/>
            <rFont val="Tahoma"/>
            <family val="2"/>
          </rPr>
          <t xml:space="preserve">
CA+CT aggregated then distributed according NP capacity </t>
        </r>
      </text>
    </comment>
    <comment ref="M25"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I26" authorId="0">
      <text>
        <r>
          <rPr>
            <b/>
            <sz val="9"/>
            <color indexed="81"/>
            <rFont val="Tahoma"/>
            <family val="2"/>
          </rPr>
          <t>Jackson, Tricia:</t>
        </r>
        <r>
          <rPr>
            <sz val="9"/>
            <color indexed="81"/>
            <rFont val="Tahoma"/>
            <family val="2"/>
          </rPr>
          <t xml:space="preserve">
CA+CT aggregated then distributed according NP capacity </t>
        </r>
      </text>
    </comment>
    <comment ref="J26"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M26" authorId="0">
      <text>
        <r>
          <rPr>
            <b/>
            <sz val="9"/>
            <color indexed="81"/>
            <rFont val="Tahoma"/>
            <family val="2"/>
          </rPr>
          <t>Jackson, Tricia:</t>
        </r>
        <r>
          <rPr>
            <sz val="9"/>
            <color indexed="81"/>
            <rFont val="Tahoma"/>
            <family val="2"/>
          </rPr>
          <t xml:space="preserve">
AMPD value of CT01 distributed across all units</t>
        </r>
      </text>
    </comment>
    <comment ref="I27" authorId="0">
      <text>
        <r>
          <rPr>
            <b/>
            <sz val="9"/>
            <color indexed="81"/>
            <rFont val="Tahoma"/>
            <family val="2"/>
          </rPr>
          <t>Jackson, Tricia:</t>
        </r>
        <r>
          <rPr>
            <sz val="9"/>
            <color indexed="81"/>
            <rFont val="Tahoma"/>
            <family val="2"/>
          </rPr>
          <t xml:space="preserve">
CA+CT aggregated then distributed according NP capacity </t>
        </r>
      </text>
    </comment>
    <comment ref="J27"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M27" authorId="0">
      <text>
        <r>
          <rPr>
            <b/>
            <sz val="9"/>
            <color indexed="81"/>
            <rFont val="Tahoma"/>
            <family val="2"/>
          </rPr>
          <t>Jackson, Tricia:</t>
        </r>
        <r>
          <rPr>
            <sz val="9"/>
            <color indexed="81"/>
            <rFont val="Tahoma"/>
            <family val="2"/>
          </rPr>
          <t xml:space="preserve">
AMPD value of CT01 distributed across all units</t>
        </r>
      </text>
    </comment>
    <comment ref="I28" authorId="0">
      <text>
        <r>
          <rPr>
            <b/>
            <sz val="9"/>
            <color indexed="81"/>
            <rFont val="Tahoma"/>
            <family val="2"/>
          </rPr>
          <t>Jackson, Tricia:</t>
        </r>
        <r>
          <rPr>
            <sz val="9"/>
            <color indexed="81"/>
            <rFont val="Tahoma"/>
            <family val="2"/>
          </rPr>
          <t xml:space="preserve">
CA+CT aggregated then distributed according NP capacity </t>
        </r>
      </text>
    </comment>
    <comment ref="M28" authorId="0">
      <text>
        <r>
          <rPr>
            <b/>
            <sz val="9"/>
            <color indexed="81"/>
            <rFont val="Tahoma"/>
            <family val="2"/>
          </rPr>
          <t>Jackson, Tricia:</t>
        </r>
        <r>
          <rPr>
            <sz val="9"/>
            <color indexed="81"/>
            <rFont val="Tahoma"/>
            <family val="2"/>
          </rPr>
          <t xml:space="preserve">
AMPD value for unit 2 distributed across all units</t>
        </r>
      </text>
    </comment>
    <comment ref="I29" authorId="0">
      <text>
        <r>
          <rPr>
            <b/>
            <sz val="9"/>
            <color indexed="81"/>
            <rFont val="Tahoma"/>
            <family val="2"/>
          </rPr>
          <t>Jackson, Tricia:</t>
        </r>
        <r>
          <rPr>
            <sz val="9"/>
            <color indexed="81"/>
            <rFont val="Tahoma"/>
            <family val="2"/>
          </rPr>
          <t xml:space="preserve">
CA+CT aggregated then distributed according NP capacity </t>
        </r>
      </text>
    </comment>
    <comment ref="M29" authorId="0">
      <text>
        <r>
          <rPr>
            <b/>
            <sz val="9"/>
            <color indexed="81"/>
            <rFont val="Tahoma"/>
            <family val="2"/>
          </rPr>
          <t>Jackson, Tricia:</t>
        </r>
        <r>
          <rPr>
            <sz val="9"/>
            <color indexed="81"/>
            <rFont val="Tahoma"/>
            <family val="2"/>
          </rPr>
          <t xml:space="preserve">
AMPD value for unit 2 distributed across all units</t>
        </r>
      </text>
    </comment>
    <comment ref="I30" authorId="0">
      <text>
        <r>
          <rPr>
            <b/>
            <sz val="9"/>
            <color indexed="81"/>
            <rFont val="Tahoma"/>
            <family val="2"/>
          </rPr>
          <t>Jackson, Tricia:</t>
        </r>
        <r>
          <rPr>
            <sz val="9"/>
            <color indexed="81"/>
            <rFont val="Tahoma"/>
            <family val="2"/>
          </rPr>
          <t xml:space="preserve">
CA+CT aggregated then distributed according NP capacity </t>
        </r>
      </text>
    </comment>
    <comment ref="M30"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1" authorId="0">
      <text>
        <r>
          <rPr>
            <b/>
            <sz val="9"/>
            <color indexed="81"/>
            <rFont val="Tahoma"/>
            <family val="2"/>
          </rPr>
          <t>Jackson, Tricia:</t>
        </r>
        <r>
          <rPr>
            <sz val="9"/>
            <color indexed="81"/>
            <rFont val="Tahoma"/>
            <family val="2"/>
          </rPr>
          <t xml:space="preserve">
CA+CT aggregated then distributed according NP capacity </t>
        </r>
      </text>
    </comment>
    <comment ref="M3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2" authorId="0">
      <text>
        <r>
          <rPr>
            <b/>
            <sz val="9"/>
            <color indexed="81"/>
            <rFont val="Tahoma"/>
            <family val="2"/>
          </rPr>
          <t>Jackson, Tricia:</t>
        </r>
        <r>
          <rPr>
            <sz val="9"/>
            <color indexed="81"/>
            <rFont val="Tahoma"/>
            <family val="2"/>
          </rPr>
          <t xml:space="preserve">
CA+CT aggregated then distributed according NP capacity </t>
        </r>
      </text>
    </comment>
    <comment ref="M32"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3" authorId="0">
      <text>
        <r>
          <rPr>
            <b/>
            <sz val="9"/>
            <color indexed="81"/>
            <rFont val="Tahoma"/>
            <family val="2"/>
          </rPr>
          <t>Jackson, Tricia:</t>
        </r>
        <r>
          <rPr>
            <sz val="9"/>
            <color indexed="81"/>
            <rFont val="Tahoma"/>
            <family val="2"/>
          </rPr>
          <t xml:space="preserve">
CA+CT aggregated then distributed according NP capacity </t>
        </r>
      </text>
    </comment>
    <comment ref="M33"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4" authorId="0">
      <text>
        <r>
          <rPr>
            <b/>
            <sz val="9"/>
            <color indexed="81"/>
            <rFont val="Tahoma"/>
            <family val="2"/>
          </rPr>
          <t>Jackson, Tricia:</t>
        </r>
        <r>
          <rPr>
            <sz val="9"/>
            <color indexed="81"/>
            <rFont val="Tahoma"/>
            <family val="2"/>
          </rPr>
          <t xml:space="preserve">
CA+CT aggregated then distributed according NP capacity </t>
        </r>
      </text>
    </comment>
    <comment ref="M34"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5" authorId="0">
      <text>
        <r>
          <rPr>
            <b/>
            <sz val="9"/>
            <color indexed="81"/>
            <rFont val="Tahoma"/>
            <family val="2"/>
          </rPr>
          <t>Jackson, Tricia:</t>
        </r>
        <r>
          <rPr>
            <sz val="9"/>
            <color indexed="81"/>
            <rFont val="Tahoma"/>
            <family val="2"/>
          </rPr>
          <t xml:space="preserve">
CA+CT aggregated then distributed according NP capacity </t>
        </r>
      </text>
    </comment>
    <comment ref="M35"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6" authorId="0">
      <text>
        <r>
          <rPr>
            <b/>
            <sz val="9"/>
            <color indexed="81"/>
            <rFont val="Tahoma"/>
            <family val="2"/>
          </rPr>
          <t>Jackson, Tricia:</t>
        </r>
        <r>
          <rPr>
            <sz val="9"/>
            <color indexed="81"/>
            <rFont val="Tahoma"/>
            <family val="2"/>
          </rPr>
          <t xml:space="preserve">
CA+CT aggregated then distributed according NP capacity </t>
        </r>
      </text>
    </comment>
    <comment ref="M36"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7" authorId="0">
      <text>
        <r>
          <rPr>
            <b/>
            <sz val="9"/>
            <color indexed="81"/>
            <rFont val="Tahoma"/>
            <family val="2"/>
          </rPr>
          <t>Jackson, Tricia:</t>
        </r>
        <r>
          <rPr>
            <sz val="9"/>
            <color indexed="81"/>
            <rFont val="Tahoma"/>
            <family val="2"/>
          </rPr>
          <t xml:space="preserve">
CA+CT aggregated then distributed according NP capacity </t>
        </r>
      </text>
    </comment>
    <comment ref="M37"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8" authorId="0">
      <text>
        <r>
          <rPr>
            <b/>
            <sz val="9"/>
            <color indexed="81"/>
            <rFont val="Tahoma"/>
            <family val="2"/>
          </rPr>
          <t>Jackson, Tricia:</t>
        </r>
        <r>
          <rPr>
            <sz val="9"/>
            <color indexed="81"/>
            <rFont val="Tahoma"/>
            <family val="2"/>
          </rPr>
          <t xml:space="preserve">
CA+CT aggregated then distributed according NP capacity </t>
        </r>
      </text>
    </comment>
    <comment ref="M38"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39" authorId="0">
      <text>
        <r>
          <rPr>
            <b/>
            <sz val="9"/>
            <color indexed="81"/>
            <rFont val="Tahoma"/>
            <family val="2"/>
          </rPr>
          <t>Jackson, Tricia:</t>
        </r>
        <r>
          <rPr>
            <sz val="9"/>
            <color indexed="81"/>
            <rFont val="Tahoma"/>
            <family val="2"/>
          </rPr>
          <t xml:space="preserve">
CA+CT aggregated then distributed according NP capacity </t>
        </r>
      </text>
    </comment>
    <comment ref="M39"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40" authorId="0">
      <text>
        <r>
          <rPr>
            <b/>
            <sz val="9"/>
            <color indexed="81"/>
            <rFont val="Tahoma"/>
            <family val="2"/>
          </rPr>
          <t>Jackson, Tricia:</t>
        </r>
        <r>
          <rPr>
            <sz val="9"/>
            <color indexed="81"/>
            <rFont val="Tahoma"/>
            <family val="2"/>
          </rPr>
          <t xml:space="preserve">
CA+CT aggregated then distributed according NP capacity </t>
        </r>
      </text>
    </comment>
    <comment ref="M40"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41" authorId="0">
      <text>
        <r>
          <rPr>
            <b/>
            <sz val="9"/>
            <color indexed="81"/>
            <rFont val="Tahoma"/>
            <family val="2"/>
          </rPr>
          <t>Jackson, Tricia:</t>
        </r>
        <r>
          <rPr>
            <sz val="9"/>
            <color indexed="81"/>
            <rFont val="Tahoma"/>
            <family val="2"/>
          </rPr>
          <t xml:space="preserve">
CA+CT aggregated then distributed according NP capacity </t>
        </r>
      </text>
    </comment>
    <comment ref="M4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I42" authorId="0">
      <text>
        <r>
          <rPr>
            <b/>
            <sz val="9"/>
            <color indexed="81"/>
            <rFont val="Tahoma"/>
            <family val="2"/>
          </rPr>
          <t>Jackson, Tricia:</t>
        </r>
        <r>
          <rPr>
            <sz val="9"/>
            <color indexed="81"/>
            <rFont val="Tahoma"/>
            <family val="2"/>
          </rPr>
          <t xml:space="preserve">
Data Source: EIA 923 Generator Data</t>
        </r>
      </text>
    </comment>
    <comment ref="M42" authorId="0">
      <text>
        <r>
          <rPr>
            <b/>
            <sz val="9"/>
            <color indexed="81"/>
            <rFont val="Tahoma"/>
            <family val="2"/>
          </rPr>
          <t>Jackson, Tricia:</t>
        </r>
        <r>
          <rPr>
            <sz val="9"/>
            <color indexed="81"/>
            <rFont val="Tahoma"/>
            <family val="2"/>
          </rPr>
          <t xml:space="preserve">
Data Source: AMPD</t>
        </r>
      </text>
    </comment>
    <comment ref="I43" authorId="0">
      <text>
        <r>
          <rPr>
            <b/>
            <sz val="9"/>
            <color indexed="81"/>
            <rFont val="Tahoma"/>
            <family val="2"/>
          </rPr>
          <t>Jackson, Tricia:</t>
        </r>
        <r>
          <rPr>
            <sz val="9"/>
            <color indexed="81"/>
            <rFont val="Tahoma"/>
            <family val="2"/>
          </rPr>
          <t xml:space="preserve">
Data Source: EIA 923 Generator Data</t>
        </r>
      </text>
    </comment>
    <comment ref="M43" authorId="0">
      <text>
        <r>
          <rPr>
            <b/>
            <sz val="9"/>
            <color indexed="81"/>
            <rFont val="Tahoma"/>
            <family val="2"/>
          </rPr>
          <t>Jackson, Tricia:</t>
        </r>
        <r>
          <rPr>
            <sz val="9"/>
            <color indexed="81"/>
            <rFont val="Tahoma"/>
            <family val="2"/>
          </rPr>
          <t xml:space="preserve">
Source: EIA 923 Boiler</t>
        </r>
      </text>
    </comment>
    <comment ref="I44" authorId="0">
      <text>
        <r>
          <rPr>
            <b/>
            <sz val="9"/>
            <color indexed="81"/>
            <rFont val="Tahoma"/>
            <family val="2"/>
          </rPr>
          <t>Jackson, Tricia:</t>
        </r>
        <r>
          <rPr>
            <sz val="9"/>
            <color indexed="81"/>
            <rFont val="Tahoma"/>
            <family val="2"/>
          </rPr>
          <t xml:space="preserve">
Data Source: EIA 923 Generator Data</t>
        </r>
      </text>
    </comment>
    <comment ref="M44" authorId="0">
      <text>
        <r>
          <rPr>
            <b/>
            <sz val="9"/>
            <color indexed="81"/>
            <rFont val="Tahoma"/>
            <family val="2"/>
          </rPr>
          <t>Jackson, Tricia:</t>
        </r>
        <r>
          <rPr>
            <sz val="9"/>
            <color indexed="81"/>
            <rFont val="Tahoma"/>
            <family val="2"/>
          </rPr>
          <t xml:space="preserve">
Data Source: AMPD</t>
        </r>
      </text>
    </comment>
    <comment ref="I47" authorId="0">
      <text>
        <r>
          <rPr>
            <b/>
            <sz val="9"/>
            <color indexed="81"/>
            <rFont val="Tahoma"/>
            <family val="2"/>
          </rPr>
          <t>Jackson, Tricia:</t>
        </r>
        <r>
          <rPr>
            <sz val="9"/>
            <color indexed="81"/>
            <rFont val="Tahoma"/>
            <family val="2"/>
          </rPr>
          <t xml:space="preserve">
Data Source: EIA 923 Generator Data</t>
        </r>
      </text>
    </comment>
    <comment ref="M47" authorId="0">
      <text>
        <r>
          <rPr>
            <b/>
            <sz val="9"/>
            <color indexed="81"/>
            <rFont val="Tahoma"/>
            <family val="2"/>
          </rPr>
          <t>Jackson, Tricia:</t>
        </r>
        <r>
          <rPr>
            <sz val="9"/>
            <color indexed="81"/>
            <rFont val="Tahoma"/>
            <family val="2"/>
          </rPr>
          <t xml:space="preserve">
Data Source: AMPD</t>
        </r>
      </text>
    </comment>
    <comment ref="I48" authorId="0">
      <text>
        <r>
          <rPr>
            <b/>
            <sz val="9"/>
            <color indexed="81"/>
            <rFont val="Tahoma"/>
            <family val="2"/>
          </rPr>
          <t>Jackson, Tricia:</t>
        </r>
        <r>
          <rPr>
            <sz val="9"/>
            <color indexed="81"/>
            <rFont val="Tahoma"/>
            <family val="2"/>
          </rPr>
          <t xml:space="preserve">
Data Source: EIA 923 Generator Data</t>
        </r>
      </text>
    </comment>
    <comment ref="M48" authorId="0">
      <text>
        <r>
          <rPr>
            <b/>
            <sz val="9"/>
            <color indexed="81"/>
            <rFont val="Tahoma"/>
            <family val="2"/>
          </rPr>
          <t>Jackson, Tricia:</t>
        </r>
        <r>
          <rPr>
            <sz val="9"/>
            <color indexed="81"/>
            <rFont val="Tahoma"/>
            <family val="2"/>
          </rPr>
          <t xml:space="preserve">
Data Source: AMPD</t>
        </r>
      </text>
    </comment>
    <comment ref="I49" authorId="0">
      <text>
        <r>
          <rPr>
            <b/>
            <sz val="9"/>
            <color indexed="81"/>
            <rFont val="Tahoma"/>
            <family val="2"/>
          </rPr>
          <t>Jackson, Tricia:</t>
        </r>
        <r>
          <rPr>
            <sz val="9"/>
            <color indexed="81"/>
            <rFont val="Tahoma"/>
            <family val="2"/>
          </rPr>
          <t xml:space="preserve">
Data Source: EIA 923 Generator Data</t>
        </r>
      </text>
    </comment>
    <comment ref="M49" authorId="0">
      <text>
        <r>
          <rPr>
            <b/>
            <sz val="9"/>
            <color indexed="81"/>
            <rFont val="Tahoma"/>
            <family val="2"/>
          </rPr>
          <t>Jackson, Tricia:</t>
        </r>
        <r>
          <rPr>
            <sz val="9"/>
            <color indexed="81"/>
            <rFont val="Tahoma"/>
            <family val="2"/>
          </rPr>
          <t xml:space="preserve">
Data Source: AMPD</t>
        </r>
      </text>
    </comment>
    <comment ref="I50" authorId="0">
      <text>
        <r>
          <rPr>
            <b/>
            <sz val="9"/>
            <color indexed="81"/>
            <rFont val="Tahoma"/>
            <family val="2"/>
          </rPr>
          <t>Jackson, Tricia:</t>
        </r>
        <r>
          <rPr>
            <sz val="9"/>
            <color indexed="81"/>
            <rFont val="Tahoma"/>
            <family val="2"/>
          </rPr>
          <t xml:space="preserve">
Data Source: EIA 923 Generator Data</t>
        </r>
      </text>
    </comment>
    <comment ref="M50" authorId="0">
      <text>
        <r>
          <rPr>
            <b/>
            <sz val="9"/>
            <color indexed="81"/>
            <rFont val="Tahoma"/>
            <family val="2"/>
          </rPr>
          <t>Jackson, Tricia:</t>
        </r>
        <r>
          <rPr>
            <sz val="9"/>
            <color indexed="81"/>
            <rFont val="Tahoma"/>
            <family val="2"/>
          </rPr>
          <t xml:space="preserve">
Data Source: AMPD</t>
        </r>
      </text>
    </comment>
    <comment ref="I51" authorId="0">
      <text>
        <r>
          <rPr>
            <b/>
            <sz val="9"/>
            <color indexed="81"/>
            <rFont val="Tahoma"/>
            <family val="2"/>
          </rPr>
          <t>Jackson, Tricia:</t>
        </r>
        <r>
          <rPr>
            <sz val="9"/>
            <color indexed="81"/>
            <rFont val="Tahoma"/>
            <family val="2"/>
          </rPr>
          <t xml:space="preserve">
Data Source: EIA 923 Generator Data</t>
        </r>
      </text>
    </comment>
    <comment ref="M51" authorId="0">
      <text>
        <r>
          <rPr>
            <b/>
            <sz val="9"/>
            <color indexed="81"/>
            <rFont val="Tahoma"/>
            <family val="2"/>
          </rPr>
          <t>Jackson, Tricia:</t>
        </r>
        <r>
          <rPr>
            <sz val="9"/>
            <color indexed="81"/>
            <rFont val="Tahoma"/>
            <family val="2"/>
          </rPr>
          <t xml:space="preserve">
Data Source: AMPD</t>
        </r>
      </text>
    </comment>
    <comment ref="I52" authorId="0">
      <text>
        <r>
          <rPr>
            <b/>
            <sz val="9"/>
            <color indexed="81"/>
            <rFont val="Tahoma"/>
            <family val="2"/>
          </rPr>
          <t>Jackson, Tricia:</t>
        </r>
        <r>
          <rPr>
            <sz val="9"/>
            <color indexed="81"/>
            <rFont val="Tahoma"/>
            <family val="2"/>
          </rPr>
          <t xml:space="preserve">
Data Source: EIA 923 Generator Data</t>
        </r>
      </text>
    </comment>
    <comment ref="M52" authorId="0">
      <text>
        <r>
          <rPr>
            <b/>
            <sz val="9"/>
            <color indexed="81"/>
            <rFont val="Tahoma"/>
            <family val="2"/>
          </rPr>
          <t>Jackson, Tricia:</t>
        </r>
        <r>
          <rPr>
            <sz val="9"/>
            <color indexed="81"/>
            <rFont val="Tahoma"/>
            <family val="2"/>
          </rPr>
          <t xml:space="preserve">
Data Source: AMPD</t>
        </r>
      </text>
    </comment>
    <comment ref="I53" authorId="0">
      <text>
        <r>
          <rPr>
            <b/>
            <sz val="9"/>
            <color indexed="81"/>
            <rFont val="Tahoma"/>
            <family val="2"/>
          </rPr>
          <t>Jackson, Tricia:</t>
        </r>
        <r>
          <rPr>
            <sz val="9"/>
            <color indexed="81"/>
            <rFont val="Tahoma"/>
            <family val="2"/>
          </rPr>
          <t xml:space="preserve">
Data Source: EIA 923 Generator Data</t>
        </r>
      </text>
    </comment>
    <comment ref="M53" authorId="0">
      <text>
        <r>
          <rPr>
            <b/>
            <sz val="9"/>
            <color indexed="81"/>
            <rFont val="Tahoma"/>
            <family val="2"/>
          </rPr>
          <t>Jackson, Tricia:</t>
        </r>
        <r>
          <rPr>
            <sz val="9"/>
            <color indexed="81"/>
            <rFont val="Tahoma"/>
            <family val="2"/>
          </rPr>
          <t xml:space="preserve">
Source: EIA 923 Boiler</t>
        </r>
      </text>
    </comment>
    <comment ref="I54" authorId="0">
      <text>
        <r>
          <rPr>
            <b/>
            <sz val="9"/>
            <color indexed="81"/>
            <rFont val="Tahoma"/>
            <family val="2"/>
          </rPr>
          <t>Jackson, Tricia:</t>
        </r>
        <r>
          <rPr>
            <sz val="9"/>
            <color indexed="81"/>
            <rFont val="Tahoma"/>
            <family val="2"/>
          </rPr>
          <t xml:space="preserve">
Data Source: EIA 923 Generator Data</t>
        </r>
      </text>
    </comment>
    <comment ref="M54" authorId="0">
      <text>
        <r>
          <rPr>
            <b/>
            <sz val="9"/>
            <color indexed="81"/>
            <rFont val="Tahoma"/>
            <family val="2"/>
          </rPr>
          <t>Jackson, Tricia:</t>
        </r>
        <r>
          <rPr>
            <sz val="9"/>
            <color indexed="81"/>
            <rFont val="Tahoma"/>
            <family val="2"/>
          </rPr>
          <t xml:space="preserve">
EIA 923 Page 1 emissions estimates based on fuel consumption</t>
        </r>
      </text>
    </comment>
  </commentList>
</comments>
</file>

<file path=xl/comments4.xml><?xml version="1.0" encoding="utf-8"?>
<comments xmlns="http://schemas.openxmlformats.org/spreadsheetml/2006/main">
  <authors>
    <author>Jackson, Tricia</author>
  </authors>
  <commentList>
    <comment ref="I2" authorId="0">
      <text>
        <r>
          <rPr>
            <b/>
            <sz val="9"/>
            <color indexed="81"/>
            <rFont val="Tahoma"/>
            <family val="2"/>
          </rPr>
          <t>Jackson, Tricia:</t>
        </r>
        <r>
          <rPr>
            <sz val="9"/>
            <color indexed="81"/>
            <rFont val="Tahoma"/>
            <family val="2"/>
          </rPr>
          <t xml:space="preserve">
Generator data</t>
        </r>
      </text>
    </comment>
    <comment ref="M2" authorId="0">
      <text>
        <r>
          <rPr>
            <b/>
            <sz val="9"/>
            <color indexed="81"/>
            <rFont val="Tahoma"/>
            <family val="2"/>
          </rPr>
          <t>Jackson, Tricia:</t>
        </r>
        <r>
          <rPr>
            <sz val="9"/>
            <color indexed="81"/>
            <rFont val="Tahoma"/>
            <family val="2"/>
          </rPr>
          <t xml:space="preserve">
AMPD</t>
        </r>
      </text>
    </comment>
    <comment ref="I3" authorId="0">
      <text>
        <r>
          <rPr>
            <b/>
            <sz val="9"/>
            <color indexed="81"/>
            <rFont val="Tahoma"/>
            <family val="2"/>
          </rPr>
          <t>Jackson, Tricia:</t>
        </r>
        <r>
          <rPr>
            <sz val="9"/>
            <color indexed="81"/>
            <rFont val="Tahoma"/>
            <family val="2"/>
          </rPr>
          <t xml:space="preserve">
Generator Data</t>
        </r>
      </text>
    </comment>
    <comment ref="M3" authorId="0">
      <text>
        <r>
          <rPr>
            <b/>
            <sz val="9"/>
            <color indexed="81"/>
            <rFont val="Tahoma"/>
            <family val="2"/>
          </rPr>
          <t>Jackson, Tricia:</t>
        </r>
        <r>
          <rPr>
            <sz val="9"/>
            <color indexed="81"/>
            <rFont val="Tahoma"/>
            <family val="2"/>
          </rPr>
          <t xml:space="preserve">
AMPD</t>
        </r>
      </text>
    </comment>
    <comment ref="I4" authorId="0">
      <text>
        <r>
          <rPr>
            <b/>
            <sz val="9"/>
            <color indexed="81"/>
            <rFont val="Tahoma"/>
            <family val="2"/>
          </rPr>
          <t>Jackson, Tricia:</t>
        </r>
        <r>
          <rPr>
            <sz val="9"/>
            <color indexed="81"/>
            <rFont val="Tahoma"/>
            <family val="2"/>
          </rPr>
          <t xml:space="preserve">
Generator data</t>
        </r>
      </text>
    </comment>
    <comment ref="M4" authorId="0">
      <text>
        <r>
          <rPr>
            <b/>
            <sz val="9"/>
            <color indexed="81"/>
            <rFont val="Tahoma"/>
            <family val="2"/>
          </rPr>
          <t>Jackson, Tricia:</t>
        </r>
        <r>
          <rPr>
            <sz val="9"/>
            <color indexed="81"/>
            <rFont val="Tahoma"/>
            <family val="2"/>
          </rPr>
          <t xml:space="preserve">
AMPD</t>
        </r>
      </text>
    </comment>
    <comment ref="I5" authorId="0">
      <text>
        <r>
          <rPr>
            <b/>
            <sz val="9"/>
            <color indexed="81"/>
            <rFont val="Tahoma"/>
            <family val="2"/>
          </rPr>
          <t>Jackson, Tricia:</t>
        </r>
        <r>
          <rPr>
            <sz val="9"/>
            <color indexed="81"/>
            <rFont val="Tahoma"/>
            <family val="2"/>
          </rPr>
          <t xml:space="preserve">
Generator data</t>
        </r>
      </text>
    </comment>
    <comment ref="M5" authorId="0">
      <text>
        <r>
          <rPr>
            <b/>
            <sz val="9"/>
            <color indexed="81"/>
            <rFont val="Tahoma"/>
            <family val="2"/>
          </rPr>
          <t>Jackson, Tricia:</t>
        </r>
        <r>
          <rPr>
            <sz val="9"/>
            <color indexed="81"/>
            <rFont val="Tahoma"/>
            <family val="2"/>
          </rPr>
          <t xml:space="preserve">
AMPD</t>
        </r>
      </text>
    </comment>
    <comment ref="I6" authorId="0">
      <text>
        <r>
          <rPr>
            <b/>
            <sz val="9"/>
            <color indexed="81"/>
            <rFont val="Tahoma"/>
            <family val="2"/>
          </rPr>
          <t>Jackson, Tricia:</t>
        </r>
        <r>
          <rPr>
            <sz val="9"/>
            <color indexed="81"/>
            <rFont val="Tahoma"/>
            <family val="2"/>
          </rPr>
          <t xml:space="preserve">
Generator Data</t>
        </r>
      </text>
    </comment>
    <comment ref="M6" authorId="0">
      <text>
        <r>
          <rPr>
            <b/>
            <sz val="9"/>
            <color indexed="81"/>
            <rFont val="Tahoma"/>
            <family val="2"/>
          </rPr>
          <t>Jackson, Tricia:</t>
        </r>
        <r>
          <rPr>
            <sz val="9"/>
            <color indexed="81"/>
            <rFont val="Tahoma"/>
            <family val="2"/>
          </rPr>
          <t xml:space="preserve">
AMPD</t>
        </r>
      </text>
    </comment>
    <comment ref="I7" authorId="0">
      <text>
        <r>
          <rPr>
            <b/>
            <sz val="9"/>
            <color indexed="81"/>
            <rFont val="Tahoma"/>
            <family val="2"/>
          </rPr>
          <t>Jackson, Tricia:</t>
        </r>
        <r>
          <rPr>
            <sz val="9"/>
            <color indexed="81"/>
            <rFont val="Tahoma"/>
            <family val="2"/>
          </rPr>
          <t xml:space="preserve">
Generator Data</t>
        </r>
      </text>
    </comment>
    <comment ref="M7" authorId="0">
      <text>
        <r>
          <rPr>
            <b/>
            <sz val="9"/>
            <color indexed="81"/>
            <rFont val="Tahoma"/>
            <family val="2"/>
          </rPr>
          <t>Jackson, Tricia:</t>
        </r>
        <r>
          <rPr>
            <sz val="9"/>
            <color indexed="81"/>
            <rFont val="Tahoma"/>
            <family val="2"/>
          </rPr>
          <t xml:space="preserve">
AMPD</t>
        </r>
      </text>
    </comment>
    <comment ref="I8" authorId="0">
      <text>
        <r>
          <rPr>
            <b/>
            <sz val="9"/>
            <color indexed="81"/>
            <rFont val="Tahoma"/>
            <family val="2"/>
          </rPr>
          <t>Jackson, Tricia:</t>
        </r>
        <r>
          <rPr>
            <sz val="9"/>
            <color indexed="81"/>
            <rFont val="Tahoma"/>
            <family val="2"/>
          </rPr>
          <t xml:space="preserve">
Generator Data</t>
        </r>
      </text>
    </comment>
    <comment ref="M8" authorId="0">
      <text>
        <r>
          <rPr>
            <b/>
            <sz val="9"/>
            <color indexed="81"/>
            <rFont val="Tahoma"/>
            <family val="2"/>
          </rPr>
          <t>Jackson, Tricia:</t>
        </r>
        <r>
          <rPr>
            <sz val="9"/>
            <color indexed="81"/>
            <rFont val="Tahoma"/>
            <family val="2"/>
          </rPr>
          <t xml:space="preserve">
AMPD</t>
        </r>
      </text>
    </comment>
    <comment ref="G9" authorId="0">
      <text>
        <r>
          <rPr>
            <b/>
            <sz val="9"/>
            <color indexed="81"/>
            <rFont val="Tahoma"/>
            <family val="2"/>
          </rPr>
          <t>Jackson, Tricia:</t>
        </r>
        <r>
          <rPr>
            <sz val="9"/>
            <color indexed="81"/>
            <rFont val="Tahoma"/>
            <family val="2"/>
          </rPr>
          <t xml:space="preserve">
CA &amp; CT are classified as CC in EPA's spreadsheet</t>
        </r>
      </text>
    </comment>
    <comment ref="I9"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9"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0" authorId="0">
      <text>
        <r>
          <rPr>
            <b/>
            <sz val="9"/>
            <color indexed="81"/>
            <rFont val="Tahoma"/>
            <family val="2"/>
          </rPr>
          <t>Jackson, Tricia:</t>
        </r>
        <r>
          <rPr>
            <sz val="9"/>
            <color indexed="81"/>
            <rFont val="Tahoma"/>
            <family val="2"/>
          </rPr>
          <t xml:space="preserve">
CA &amp; CT are classified as CC in EPA's spreadsheet</t>
        </r>
      </text>
    </comment>
    <comment ref="I10"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0"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1" authorId="0">
      <text>
        <r>
          <rPr>
            <b/>
            <sz val="9"/>
            <color indexed="81"/>
            <rFont val="Tahoma"/>
            <family val="2"/>
          </rPr>
          <t>Jackson, Tricia:</t>
        </r>
        <r>
          <rPr>
            <sz val="9"/>
            <color indexed="81"/>
            <rFont val="Tahoma"/>
            <family val="2"/>
          </rPr>
          <t xml:space="preserve">
CA &amp; CT are classified as CC in EPA's spreadsheet</t>
        </r>
      </text>
    </comment>
    <comment ref="I11"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1"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2" authorId="0">
      <text>
        <r>
          <rPr>
            <b/>
            <sz val="9"/>
            <color indexed="81"/>
            <rFont val="Tahoma"/>
            <family val="2"/>
          </rPr>
          <t>Jackson, Tricia:</t>
        </r>
        <r>
          <rPr>
            <sz val="9"/>
            <color indexed="81"/>
            <rFont val="Tahoma"/>
            <family val="2"/>
          </rPr>
          <t xml:space="preserve">
CA &amp; CT are classified as CC in EPA's spreadsheet</t>
        </r>
      </text>
    </comment>
    <comment ref="I12"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2"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3" authorId="0">
      <text>
        <r>
          <rPr>
            <b/>
            <sz val="9"/>
            <color indexed="81"/>
            <rFont val="Tahoma"/>
            <family val="2"/>
          </rPr>
          <t>Jackson, Tricia:</t>
        </r>
        <r>
          <rPr>
            <sz val="9"/>
            <color indexed="81"/>
            <rFont val="Tahoma"/>
            <family val="2"/>
          </rPr>
          <t xml:space="preserve">
CA &amp; CT are classified as CC in EPA's spreadsheet</t>
        </r>
      </text>
    </comment>
    <comment ref="I13"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3"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4" authorId="0">
      <text>
        <r>
          <rPr>
            <b/>
            <sz val="9"/>
            <color indexed="81"/>
            <rFont val="Tahoma"/>
            <family val="2"/>
          </rPr>
          <t>Jackson, Tricia:</t>
        </r>
        <r>
          <rPr>
            <sz val="9"/>
            <color indexed="81"/>
            <rFont val="Tahoma"/>
            <family val="2"/>
          </rPr>
          <t xml:space="preserve">
CA &amp; CT are classified as CC in EPA's spreadsheet</t>
        </r>
      </text>
    </comment>
    <comment ref="I14"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4"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5" authorId="0">
      <text>
        <r>
          <rPr>
            <b/>
            <sz val="9"/>
            <color indexed="81"/>
            <rFont val="Tahoma"/>
            <family val="2"/>
          </rPr>
          <t>Jackson, Tricia:</t>
        </r>
        <r>
          <rPr>
            <sz val="9"/>
            <color indexed="81"/>
            <rFont val="Tahoma"/>
            <family val="2"/>
          </rPr>
          <t xml:space="preserve">
CA &amp; CT are classified as CC in EPA's spreadsheet</t>
        </r>
      </text>
    </comment>
    <comment ref="I15"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5"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6" authorId="0">
      <text>
        <r>
          <rPr>
            <b/>
            <sz val="9"/>
            <color indexed="81"/>
            <rFont val="Tahoma"/>
            <family val="2"/>
          </rPr>
          <t>Jackson, Tricia:</t>
        </r>
        <r>
          <rPr>
            <sz val="9"/>
            <color indexed="81"/>
            <rFont val="Tahoma"/>
            <family val="2"/>
          </rPr>
          <t xml:space="preserve">
CA &amp; CT are classified as CC in EPA's spreadsheet</t>
        </r>
      </text>
    </comment>
    <comment ref="I16"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6"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7" authorId="0">
      <text>
        <r>
          <rPr>
            <b/>
            <sz val="9"/>
            <color indexed="81"/>
            <rFont val="Tahoma"/>
            <family val="2"/>
          </rPr>
          <t>Jackson, Tricia:</t>
        </r>
        <r>
          <rPr>
            <sz val="9"/>
            <color indexed="81"/>
            <rFont val="Tahoma"/>
            <family val="2"/>
          </rPr>
          <t xml:space="preserve">
CA &amp; CT are classified as CC in EPA's spreadsheet</t>
        </r>
      </text>
    </comment>
    <comment ref="I17"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7"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8" authorId="0">
      <text>
        <r>
          <rPr>
            <b/>
            <sz val="9"/>
            <color indexed="81"/>
            <rFont val="Tahoma"/>
            <family val="2"/>
          </rPr>
          <t>Jackson, Tricia:</t>
        </r>
        <r>
          <rPr>
            <sz val="9"/>
            <color indexed="81"/>
            <rFont val="Tahoma"/>
            <family val="2"/>
          </rPr>
          <t xml:space="preserve">
CA &amp; CT are classified as CC in EPA's spreadsheet</t>
        </r>
      </text>
    </comment>
    <comment ref="I18"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8"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9" authorId="0">
      <text>
        <r>
          <rPr>
            <b/>
            <sz val="9"/>
            <color indexed="81"/>
            <rFont val="Tahoma"/>
            <family val="2"/>
          </rPr>
          <t>Jackson, Tricia:</t>
        </r>
        <r>
          <rPr>
            <sz val="9"/>
            <color indexed="81"/>
            <rFont val="Tahoma"/>
            <family val="2"/>
          </rPr>
          <t xml:space="preserve">
CA &amp; CT are classified as CC in EPA's spreadsheet</t>
        </r>
      </text>
    </comment>
    <comment ref="I19"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19"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0" authorId="0">
      <text>
        <r>
          <rPr>
            <b/>
            <sz val="9"/>
            <color indexed="81"/>
            <rFont val="Tahoma"/>
            <family val="2"/>
          </rPr>
          <t>Jackson, Tricia:</t>
        </r>
        <r>
          <rPr>
            <sz val="9"/>
            <color indexed="81"/>
            <rFont val="Tahoma"/>
            <family val="2"/>
          </rPr>
          <t xml:space="preserve">
CA &amp; CT are classified as CC in EPA's spreadsheet</t>
        </r>
      </text>
    </comment>
    <comment ref="I20"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20"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1" authorId="0">
      <text>
        <r>
          <rPr>
            <b/>
            <sz val="9"/>
            <color indexed="81"/>
            <rFont val="Tahoma"/>
            <family val="2"/>
          </rPr>
          <t>Jackson, Tricia:</t>
        </r>
        <r>
          <rPr>
            <sz val="9"/>
            <color indexed="81"/>
            <rFont val="Tahoma"/>
            <family val="2"/>
          </rPr>
          <t xml:space="preserve">
CA &amp; CT are classified as CC in EPA's spreadsheet</t>
        </r>
      </text>
    </comment>
    <comment ref="I21"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21"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2" authorId="0">
      <text>
        <r>
          <rPr>
            <b/>
            <sz val="9"/>
            <color indexed="81"/>
            <rFont val="Tahoma"/>
            <family val="2"/>
          </rPr>
          <t>Jackson, Tricia:</t>
        </r>
        <r>
          <rPr>
            <sz val="9"/>
            <color indexed="81"/>
            <rFont val="Tahoma"/>
            <family val="2"/>
          </rPr>
          <t xml:space="preserve">
CA &amp; CT are classified as CC in EPA's spreadsheet</t>
        </r>
      </text>
    </comment>
    <comment ref="I22"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22"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3" authorId="0">
      <text>
        <r>
          <rPr>
            <b/>
            <sz val="9"/>
            <color indexed="81"/>
            <rFont val="Tahoma"/>
            <family val="2"/>
          </rPr>
          <t>Jackson, Tricia:</t>
        </r>
        <r>
          <rPr>
            <sz val="9"/>
            <color indexed="81"/>
            <rFont val="Tahoma"/>
            <family val="2"/>
          </rPr>
          <t xml:space="preserve">
CA &amp; CT are classified as CC in EPA's spreadsheet</t>
        </r>
      </text>
    </comment>
    <comment ref="I23"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23"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4" authorId="0">
      <text>
        <r>
          <rPr>
            <b/>
            <sz val="9"/>
            <color indexed="81"/>
            <rFont val="Tahoma"/>
            <family val="2"/>
          </rPr>
          <t>Jackson, Tricia:</t>
        </r>
        <r>
          <rPr>
            <sz val="9"/>
            <color indexed="81"/>
            <rFont val="Tahoma"/>
            <family val="2"/>
          </rPr>
          <t xml:space="preserve">
CA &amp; CT are classified as CC in EPA's spreadsheet</t>
        </r>
      </text>
    </comment>
    <comment ref="I24"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24"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5" authorId="0">
      <text>
        <r>
          <rPr>
            <b/>
            <sz val="9"/>
            <color indexed="81"/>
            <rFont val="Tahoma"/>
            <family val="2"/>
          </rPr>
          <t>Jackson, Tricia:</t>
        </r>
        <r>
          <rPr>
            <sz val="9"/>
            <color indexed="81"/>
            <rFont val="Tahoma"/>
            <family val="2"/>
          </rPr>
          <t xml:space="preserve">
CA &amp; CT are classified as CC in EPA's spreadsheet</t>
        </r>
      </text>
    </comment>
    <comment ref="I25"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25"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6" authorId="0">
      <text>
        <r>
          <rPr>
            <b/>
            <sz val="9"/>
            <color indexed="81"/>
            <rFont val="Tahoma"/>
            <family val="2"/>
          </rPr>
          <t>Jackson, Tricia:</t>
        </r>
        <r>
          <rPr>
            <sz val="9"/>
            <color indexed="81"/>
            <rFont val="Tahoma"/>
            <family val="2"/>
          </rPr>
          <t xml:space="preserve">
CA &amp; CT are classified as CC in EPA's spreadsheet</t>
        </r>
      </text>
    </comment>
    <comment ref="I26"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26"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7" authorId="0">
      <text>
        <r>
          <rPr>
            <b/>
            <sz val="9"/>
            <color indexed="81"/>
            <rFont val="Tahoma"/>
            <family val="2"/>
          </rPr>
          <t>Jackson, Tricia:</t>
        </r>
        <r>
          <rPr>
            <sz val="9"/>
            <color indexed="81"/>
            <rFont val="Tahoma"/>
            <family val="2"/>
          </rPr>
          <t xml:space="preserve">
CA &amp; CT are classified as CC in EPA's spreadsheet</t>
        </r>
      </text>
    </comment>
    <comment ref="I27"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J27"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M27"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8" authorId="0">
      <text>
        <r>
          <rPr>
            <b/>
            <sz val="9"/>
            <color indexed="81"/>
            <rFont val="Tahoma"/>
            <family val="2"/>
          </rPr>
          <t>Jackson, Tricia:</t>
        </r>
        <r>
          <rPr>
            <sz val="9"/>
            <color indexed="81"/>
            <rFont val="Tahoma"/>
            <family val="2"/>
          </rPr>
          <t xml:space="preserve">
CA &amp; CT are classified as CC in EPA's spreadsheet</t>
        </r>
      </text>
    </comment>
    <comment ref="I28"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J28"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M28"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9" authorId="0">
      <text>
        <r>
          <rPr>
            <b/>
            <sz val="9"/>
            <color indexed="81"/>
            <rFont val="Tahoma"/>
            <family val="2"/>
          </rPr>
          <t>Jackson, Tricia:</t>
        </r>
        <r>
          <rPr>
            <sz val="9"/>
            <color indexed="81"/>
            <rFont val="Tahoma"/>
            <family val="2"/>
          </rPr>
          <t xml:space="preserve">
CA &amp; CT are classified as CC in EPA's spreadsheet</t>
        </r>
      </text>
    </comment>
    <comment ref="I29"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29"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0" authorId="0">
      <text>
        <r>
          <rPr>
            <b/>
            <sz val="9"/>
            <color indexed="81"/>
            <rFont val="Tahoma"/>
            <family val="2"/>
          </rPr>
          <t>Jackson, Tricia:</t>
        </r>
        <r>
          <rPr>
            <sz val="9"/>
            <color indexed="81"/>
            <rFont val="Tahoma"/>
            <family val="2"/>
          </rPr>
          <t xml:space="preserve">
CA &amp; CT are classified as CC in EPA's spreadsheet</t>
        </r>
      </text>
    </comment>
    <comment ref="I30"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0"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1" authorId="0">
      <text>
        <r>
          <rPr>
            <b/>
            <sz val="9"/>
            <color indexed="81"/>
            <rFont val="Tahoma"/>
            <family val="2"/>
          </rPr>
          <t>Jackson, Tricia:</t>
        </r>
        <r>
          <rPr>
            <sz val="9"/>
            <color indexed="81"/>
            <rFont val="Tahoma"/>
            <family val="2"/>
          </rPr>
          <t xml:space="preserve">
CA &amp; CT are classified as CC in EPA's spreadsheet</t>
        </r>
      </text>
    </comment>
    <comment ref="I31"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1"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2" authorId="0">
      <text>
        <r>
          <rPr>
            <b/>
            <sz val="9"/>
            <color indexed="81"/>
            <rFont val="Tahoma"/>
            <family val="2"/>
          </rPr>
          <t>Jackson, Tricia:</t>
        </r>
        <r>
          <rPr>
            <sz val="9"/>
            <color indexed="81"/>
            <rFont val="Tahoma"/>
            <family val="2"/>
          </rPr>
          <t xml:space="preserve">
CA &amp; CT are classified as CC in EPA's spreadsheet</t>
        </r>
      </text>
    </comment>
    <comment ref="I32"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2"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3" authorId="0">
      <text>
        <r>
          <rPr>
            <b/>
            <sz val="9"/>
            <color indexed="81"/>
            <rFont val="Tahoma"/>
            <family val="2"/>
          </rPr>
          <t>Jackson, Tricia:</t>
        </r>
        <r>
          <rPr>
            <sz val="9"/>
            <color indexed="81"/>
            <rFont val="Tahoma"/>
            <family val="2"/>
          </rPr>
          <t xml:space="preserve">
CA &amp; CT are classified as CC in EPA's spreadsheet</t>
        </r>
      </text>
    </comment>
    <comment ref="I33"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3"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4" authorId="0">
      <text>
        <r>
          <rPr>
            <b/>
            <sz val="9"/>
            <color indexed="81"/>
            <rFont val="Tahoma"/>
            <family val="2"/>
          </rPr>
          <t>Jackson, Tricia:</t>
        </r>
        <r>
          <rPr>
            <sz val="9"/>
            <color indexed="81"/>
            <rFont val="Tahoma"/>
            <family val="2"/>
          </rPr>
          <t xml:space="preserve">
CA &amp; CT are classified as CC in EPA's spreadsheet</t>
        </r>
      </text>
    </comment>
    <comment ref="I34"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4"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5" authorId="0">
      <text>
        <r>
          <rPr>
            <b/>
            <sz val="9"/>
            <color indexed="81"/>
            <rFont val="Tahoma"/>
            <family val="2"/>
          </rPr>
          <t>Jackson, Tricia:</t>
        </r>
        <r>
          <rPr>
            <sz val="9"/>
            <color indexed="81"/>
            <rFont val="Tahoma"/>
            <family val="2"/>
          </rPr>
          <t xml:space="preserve">
CA &amp; CT are classified as CC in EPA's spreadsheet</t>
        </r>
      </text>
    </comment>
    <comment ref="I35"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5"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6" authorId="0">
      <text>
        <r>
          <rPr>
            <b/>
            <sz val="9"/>
            <color indexed="81"/>
            <rFont val="Tahoma"/>
            <family val="2"/>
          </rPr>
          <t>Jackson, Tricia:</t>
        </r>
        <r>
          <rPr>
            <sz val="9"/>
            <color indexed="81"/>
            <rFont val="Tahoma"/>
            <family val="2"/>
          </rPr>
          <t xml:space="preserve">
CA &amp; CT are classified as CC in EPA's spreadsheet</t>
        </r>
      </text>
    </comment>
    <comment ref="I36"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6"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7" authorId="0">
      <text>
        <r>
          <rPr>
            <b/>
            <sz val="9"/>
            <color indexed="81"/>
            <rFont val="Tahoma"/>
            <family val="2"/>
          </rPr>
          <t>Jackson, Tricia:</t>
        </r>
        <r>
          <rPr>
            <sz val="9"/>
            <color indexed="81"/>
            <rFont val="Tahoma"/>
            <family val="2"/>
          </rPr>
          <t xml:space="preserve">
CA &amp; CT are classified as CC in EPA's spreadsheet</t>
        </r>
      </text>
    </comment>
    <comment ref="I37"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7"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8" authorId="0">
      <text>
        <r>
          <rPr>
            <b/>
            <sz val="9"/>
            <color indexed="81"/>
            <rFont val="Tahoma"/>
            <family val="2"/>
          </rPr>
          <t>Jackson, Tricia:</t>
        </r>
        <r>
          <rPr>
            <sz val="9"/>
            <color indexed="81"/>
            <rFont val="Tahoma"/>
            <family val="2"/>
          </rPr>
          <t xml:space="preserve">
CA &amp; CT are classified as CC in EPA's spreadsheet</t>
        </r>
      </text>
    </comment>
    <comment ref="I38"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8"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9" authorId="0">
      <text>
        <r>
          <rPr>
            <b/>
            <sz val="9"/>
            <color indexed="81"/>
            <rFont val="Tahoma"/>
            <family val="2"/>
          </rPr>
          <t>Jackson, Tricia:</t>
        </r>
        <r>
          <rPr>
            <sz val="9"/>
            <color indexed="81"/>
            <rFont val="Tahoma"/>
            <family val="2"/>
          </rPr>
          <t xml:space="preserve">
CA &amp; CT are classified as CC in EPA's spreadsheet</t>
        </r>
      </text>
    </comment>
    <comment ref="I39"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39"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40" authorId="0">
      <text>
        <r>
          <rPr>
            <b/>
            <sz val="9"/>
            <color indexed="81"/>
            <rFont val="Tahoma"/>
            <family val="2"/>
          </rPr>
          <t>Jackson, Tricia:</t>
        </r>
        <r>
          <rPr>
            <sz val="9"/>
            <color indexed="81"/>
            <rFont val="Tahoma"/>
            <family val="2"/>
          </rPr>
          <t xml:space="preserve">
CA &amp; CT are classified as CC in EPA's spreadsheet</t>
        </r>
      </text>
    </comment>
    <comment ref="I40"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40"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41" authorId="0">
      <text>
        <r>
          <rPr>
            <b/>
            <sz val="9"/>
            <color indexed="81"/>
            <rFont val="Tahoma"/>
            <family val="2"/>
          </rPr>
          <t>Jackson, Tricia:</t>
        </r>
        <r>
          <rPr>
            <sz val="9"/>
            <color indexed="81"/>
            <rFont val="Tahoma"/>
            <family val="2"/>
          </rPr>
          <t xml:space="preserve">
CA &amp; CT are classified as CC in EPA's spreadsheet</t>
        </r>
      </text>
    </comment>
    <comment ref="I41"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41"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42" authorId="0">
      <text>
        <r>
          <rPr>
            <b/>
            <sz val="9"/>
            <color indexed="81"/>
            <rFont val="Tahoma"/>
            <family val="2"/>
          </rPr>
          <t>Jackson, Tricia:</t>
        </r>
        <r>
          <rPr>
            <sz val="9"/>
            <color indexed="81"/>
            <rFont val="Tahoma"/>
            <family val="2"/>
          </rPr>
          <t xml:space="preserve">
CA &amp; CT are classified as CC in EPA's spreadsheet</t>
        </r>
      </text>
    </comment>
    <comment ref="I42"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M42"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M43" authorId="0">
      <text>
        <r>
          <rPr>
            <b/>
            <sz val="9"/>
            <color indexed="81"/>
            <rFont val="Tahoma"/>
            <family val="2"/>
          </rPr>
          <t>Jackson, Tricia:</t>
        </r>
        <r>
          <rPr>
            <sz val="9"/>
            <color indexed="81"/>
            <rFont val="Tahoma"/>
            <family val="2"/>
          </rPr>
          <t xml:space="preserve">
AMPD </t>
        </r>
      </text>
    </comment>
    <comment ref="M44" authorId="0">
      <text>
        <r>
          <rPr>
            <b/>
            <sz val="9"/>
            <color indexed="81"/>
            <rFont val="Tahoma"/>
            <family val="2"/>
          </rPr>
          <t>Jackson, Tricia:</t>
        </r>
        <r>
          <rPr>
            <sz val="9"/>
            <color indexed="81"/>
            <rFont val="Tahoma"/>
            <family val="2"/>
          </rPr>
          <t xml:space="preserve">
Boiler Data aggregated to generator</t>
        </r>
      </text>
    </comment>
    <comment ref="M45" authorId="0">
      <text>
        <r>
          <rPr>
            <b/>
            <sz val="9"/>
            <color indexed="81"/>
            <rFont val="Tahoma"/>
            <family val="2"/>
          </rPr>
          <t>Jackson, Tricia:</t>
        </r>
        <r>
          <rPr>
            <sz val="9"/>
            <color indexed="81"/>
            <rFont val="Tahoma"/>
            <family val="2"/>
          </rPr>
          <t xml:space="preserve">
AMPD value</t>
        </r>
      </text>
    </comment>
    <comment ref="M48" authorId="0">
      <text>
        <r>
          <rPr>
            <b/>
            <sz val="9"/>
            <color indexed="81"/>
            <rFont val="Tahoma"/>
            <family val="2"/>
          </rPr>
          <t>Jackson, Tricia:</t>
        </r>
        <r>
          <rPr>
            <sz val="9"/>
            <color indexed="81"/>
            <rFont val="Tahoma"/>
            <family val="2"/>
          </rPr>
          <t xml:space="preserve">
Plant-Level distributed based on NP</t>
        </r>
      </text>
    </comment>
    <comment ref="M49" authorId="0">
      <text>
        <r>
          <rPr>
            <b/>
            <sz val="9"/>
            <color indexed="81"/>
            <rFont val="Tahoma"/>
            <family val="2"/>
          </rPr>
          <t>Jackson, Tricia:</t>
        </r>
        <r>
          <rPr>
            <sz val="9"/>
            <color indexed="81"/>
            <rFont val="Tahoma"/>
            <family val="2"/>
          </rPr>
          <t xml:space="preserve">
Boiler Level data aggregated to generator</t>
        </r>
      </text>
    </comment>
    <comment ref="M50" authorId="0">
      <text>
        <r>
          <rPr>
            <b/>
            <sz val="9"/>
            <color indexed="81"/>
            <rFont val="Tahoma"/>
            <family val="2"/>
          </rPr>
          <t>Jackson, Tricia:</t>
        </r>
        <r>
          <rPr>
            <sz val="9"/>
            <color indexed="81"/>
            <rFont val="Tahoma"/>
            <family val="2"/>
          </rPr>
          <t xml:space="preserve">
AMPD</t>
        </r>
      </text>
    </comment>
    <comment ref="M51" authorId="0">
      <text>
        <r>
          <rPr>
            <b/>
            <sz val="9"/>
            <color indexed="81"/>
            <rFont val="Tahoma"/>
            <family val="2"/>
          </rPr>
          <t>Jackson, Tricia:</t>
        </r>
        <r>
          <rPr>
            <sz val="9"/>
            <color indexed="81"/>
            <rFont val="Tahoma"/>
            <family val="2"/>
          </rPr>
          <t xml:space="preserve">
AMPD </t>
        </r>
      </text>
    </comment>
    <comment ref="M52" authorId="0">
      <text>
        <r>
          <rPr>
            <b/>
            <sz val="9"/>
            <color indexed="81"/>
            <rFont val="Tahoma"/>
            <family val="2"/>
          </rPr>
          <t>Jackson, Tricia:</t>
        </r>
        <r>
          <rPr>
            <sz val="9"/>
            <color indexed="81"/>
            <rFont val="Tahoma"/>
            <family val="2"/>
          </rPr>
          <t xml:space="preserve">
AMPD</t>
        </r>
      </text>
    </comment>
    <comment ref="M53" authorId="0">
      <text>
        <r>
          <rPr>
            <b/>
            <sz val="9"/>
            <color indexed="81"/>
            <rFont val="Tahoma"/>
            <family val="2"/>
          </rPr>
          <t>Jackson, Tricia:</t>
        </r>
        <r>
          <rPr>
            <sz val="9"/>
            <color indexed="81"/>
            <rFont val="Tahoma"/>
            <family val="2"/>
          </rPr>
          <t xml:space="preserve">
AMPD</t>
        </r>
      </text>
    </comment>
    <comment ref="M54" authorId="0">
      <text>
        <r>
          <rPr>
            <b/>
            <sz val="9"/>
            <color indexed="81"/>
            <rFont val="Tahoma"/>
            <family val="2"/>
          </rPr>
          <t>Jackson, Tricia:</t>
        </r>
        <r>
          <rPr>
            <sz val="9"/>
            <color indexed="81"/>
            <rFont val="Tahoma"/>
            <family val="2"/>
          </rPr>
          <t xml:space="preserve">
boiler data aggregated to generator</t>
        </r>
      </text>
    </comment>
    <comment ref="M55" authorId="0">
      <text>
        <r>
          <rPr>
            <b/>
            <sz val="9"/>
            <color indexed="81"/>
            <rFont val="Tahoma"/>
            <family val="2"/>
          </rPr>
          <t>Jackson, Tricia:</t>
        </r>
        <r>
          <rPr>
            <sz val="9"/>
            <color indexed="81"/>
            <rFont val="Tahoma"/>
            <family val="2"/>
          </rPr>
          <t xml:space="preserve">
plant-level distributed according to NP</t>
        </r>
      </text>
    </comment>
  </commentList>
</comments>
</file>

<file path=xl/comments5.xml><?xml version="1.0" encoding="utf-8"?>
<comments xmlns="http://schemas.openxmlformats.org/spreadsheetml/2006/main">
  <authors>
    <author>Jackson, Tricia</author>
  </authors>
  <commentList>
    <comment ref="H2" authorId="0">
      <text>
        <r>
          <rPr>
            <b/>
            <sz val="9"/>
            <color indexed="81"/>
            <rFont val="Tahoma"/>
            <family val="2"/>
          </rPr>
          <t>Jackson, Tricia:</t>
        </r>
        <r>
          <rPr>
            <sz val="9"/>
            <color indexed="81"/>
            <rFont val="Tahoma"/>
            <family val="2"/>
          </rPr>
          <t xml:space="preserve">
Generator data</t>
        </r>
      </text>
    </comment>
    <comment ref="L2" authorId="0">
      <text>
        <r>
          <rPr>
            <b/>
            <sz val="9"/>
            <color indexed="81"/>
            <rFont val="Tahoma"/>
            <family val="2"/>
          </rPr>
          <t>Jackson, Tricia:</t>
        </r>
        <r>
          <rPr>
            <sz val="9"/>
            <color indexed="81"/>
            <rFont val="Tahoma"/>
            <family val="2"/>
          </rPr>
          <t xml:space="preserve">
AMPD</t>
        </r>
      </text>
    </comment>
    <comment ref="H3" authorId="0">
      <text>
        <r>
          <rPr>
            <b/>
            <sz val="9"/>
            <color indexed="81"/>
            <rFont val="Tahoma"/>
            <family val="2"/>
          </rPr>
          <t>Jackson, Tricia:</t>
        </r>
        <r>
          <rPr>
            <sz val="9"/>
            <color indexed="81"/>
            <rFont val="Tahoma"/>
            <family val="2"/>
          </rPr>
          <t xml:space="preserve">
Generator Data</t>
        </r>
      </text>
    </comment>
    <comment ref="L3" authorId="0">
      <text>
        <r>
          <rPr>
            <b/>
            <sz val="9"/>
            <color indexed="81"/>
            <rFont val="Tahoma"/>
            <family val="2"/>
          </rPr>
          <t>Jackson, Tricia:</t>
        </r>
        <r>
          <rPr>
            <sz val="9"/>
            <color indexed="81"/>
            <rFont val="Tahoma"/>
            <family val="2"/>
          </rPr>
          <t xml:space="preserve">
AMPD</t>
        </r>
      </text>
    </comment>
    <comment ref="H4" authorId="0">
      <text>
        <r>
          <rPr>
            <b/>
            <sz val="9"/>
            <color indexed="81"/>
            <rFont val="Tahoma"/>
            <family val="2"/>
          </rPr>
          <t>Jackson, Tricia:</t>
        </r>
        <r>
          <rPr>
            <sz val="9"/>
            <color indexed="81"/>
            <rFont val="Tahoma"/>
            <family val="2"/>
          </rPr>
          <t xml:space="preserve">
Generator data</t>
        </r>
      </text>
    </comment>
    <comment ref="L4" authorId="0">
      <text>
        <r>
          <rPr>
            <b/>
            <sz val="9"/>
            <color indexed="81"/>
            <rFont val="Tahoma"/>
            <family val="2"/>
          </rPr>
          <t>Jackson, Tricia:</t>
        </r>
        <r>
          <rPr>
            <sz val="9"/>
            <color indexed="81"/>
            <rFont val="Tahoma"/>
            <family val="2"/>
          </rPr>
          <t xml:space="preserve">
AMPD</t>
        </r>
      </text>
    </comment>
    <comment ref="H5" authorId="0">
      <text>
        <r>
          <rPr>
            <b/>
            <sz val="9"/>
            <color indexed="81"/>
            <rFont val="Tahoma"/>
            <family val="2"/>
          </rPr>
          <t>Jackson, Tricia:</t>
        </r>
        <r>
          <rPr>
            <sz val="9"/>
            <color indexed="81"/>
            <rFont val="Tahoma"/>
            <family val="2"/>
          </rPr>
          <t xml:space="preserve">
Generator data</t>
        </r>
      </text>
    </comment>
    <comment ref="L5" authorId="0">
      <text>
        <r>
          <rPr>
            <b/>
            <sz val="9"/>
            <color indexed="81"/>
            <rFont val="Tahoma"/>
            <family val="2"/>
          </rPr>
          <t>Jackson, Tricia:</t>
        </r>
        <r>
          <rPr>
            <sz val="9"/>
            <color indexed="81"/>
            <rFont val="Tahoma"/>
            <family val="2"/>
          </rPr>
          <t xml:space="preserve">
AMPD</t>
        </r>
      </text>
    </comment>
    <comment ref="H6" authorId="0">
      <text>
        <r>
          <rPr>
            <b/>
            <sz val="9"/>
            <color indexed="81"/>
            <rFont val="Tahoma"/>
            <family val="2"/>
          </rPr>
          <t>Jackson, Tricia:</t>
        </r>
        <r>
          <rPr>
            <sz val="9"/>
            <color indexed="81"/>
            <rFont val="Tahoma"/>
            <family val="2"/>
          </rPr>
          <t xml:space="preserve">
Generator Data</t>
        </r>
      </text>
    </comment>
    <comment ref="L6" authorId="0">
      <text>
        <r>
          <rPr>
            <b/>
            <sz val="9"/>
            <color indexed="81"/>
            <rFont val="Tahoma"/>
            <family val="2"/>
          </rPr>
          <t>Jackson, Tricia:</t>
        </r>
        <r>
          <rPr>
            <sz val="9"/>
            <color indexed="81"/>
            <rFont val="Tahoma"/>
            <family val="2"/>
          </rPr>
          <t xml:space="preserve">
AMPD</t>
        </r>
      </text>
    </comment>
    <comment ref="H7" authorId="0">
      <text>
        <r>
          <rPr>
            <b/>
            <sz val="9"/>
            <color indexed="81"/>
            <rFont val="Tahoma"/>
            <family val="2"/>
          </rPr>
          <t>Jackson, Tricia:</t>
        </r>
        <r>
          <rPr>
            <sz val="9"/>
            <color indexed="81"/>
            <rFont val="Tahoma"/>
            <family val="2"/>
          </rPr>
          <t xml:space="preserve">
Generator Data</t>
        </r>
      </text>
    </comment>
    <comment ref="L7" authorId="0">
      <text>
        <r>
          <rPr>
            <b/>
            <sz val="9"/>
            <color indexed="81"/>
            <rFont val="Tahoma"/>
            <family val="2"/>
          </rPr>
          <t>Jackson, Tricia:</t>
        </r>
        <r>
          <rPr>
            <sz val="9"/>
            <color indexed="81"/>
            <rFont val="Tahoma"/>
            <family val="2"/>
          </rPr>
          <t xml:space="preserve">
AMPD</t>
        </r>
      </text>
    </comment>
    <comment ref="H8" authorId="0">
      <text>
        <r>
          <rPr>
            <b/>
            <sz val="9"/>
            <color indexed="81"/>
            <rFont val="Tahoma"/>
            <family val="2"/>
          </rPr>
          <t>Jackson, Tricia:</t>
        </r>
        <r>
          <rPr>
            <sz val="9"/>
            <color indexed="81"/>
            <rFont val="Tahoma"/>
            <family val="2"/>
          </rPr>
          <t xml:space="preserve">
Generator Data</t>
        </r>
      </text>
    </comment>
    <comment ref="L8" authorId="0">
      <text>
        <r>
          <rPr>
            <b/>
            <sz val="9"/>
            <color indexed="81"/>
            <rFont val="Tahoma"/>
            <family val="2"/>
          </rPr>
          <t>Jackson, Tricia:</t>
        </r>
        <r>
          <rPr>
            <sz val="9"/>
            <color indexed="81"/>
            <rFont val="Tahoma"/>
            <family val="2"/>
          </rPr>
          <t xml:space="preserve">
AMPD</t>
        </r>
      </text>
    </comment>
    <comment ref="F9" authorId="0">
      <text>
        <r>
          <rPr>
            <b/>
            <sz val="9"/>
            <color indexed="81"/>
            <rFont val="Tahoma"/>
            <family val="2"/>
          </rPr>
          <t>Jackson, Tricia:</t>
        </r>
        <r>
          <rPr>
            <sz val="9"/>
            <color indexed="81"/>
            <rFont val="Tahoma"/>
            <family val="2"/>
          </rPr>
          <t xml:space="preserve">
CA &amp; CT are classified as CC in EPA's spreadsheet</t>
        </r>
      </text>
    </comment>
    <comment ref="H9" authorId="0">
      <text>
        <r>
          <rPr>
            <b/>
            <sz val="9"/>
            <color indexed="81"/>
            <rFont val="Tahoma"/>
            <family val="2"/>
          </rPr>
          <t>Jackson, Tricia:</t>
        </r>
        <r>
          <rPr>
            <sz val="9"/>
            <color indexed="81"/>
            <rFont val="Tahoma"/>
            <family val="2"/>
          </rPr>
          <t xml:space="preserve">
Plant-level distributed according to NP</t>
        </r>
      </text>
    </comment>
    <comment ref="L9" authorId="0">
      <text>
        <r>
          <rPr>
            <b/>
            <sz val="9"/>
            <color indexed="81"/>
            <rFont val="Tahoma"/>
            <family val="2"/>
          </rPr>
          <t>Jackson, Tricia:</t>
        </r>
        <r>
          <rPr>
            <sz val="9"/>
            <color indexed="81"/>
            <rFont val="Tahoma"/>
            <family val="2"/>
          </rPr>
          <t xml:space="preserve">
AMPD value</t>
        </r>
      </text>
    </comment>
    <comment ref="F10" authorId="0">
      <text>
        <r>
          <rPr>
            <b/>
            <sz val="9"/>
            <color indexed="81"/>
            <rFont val="Tahoma"/>
            <family val="2"/>
          </rPr>
          <t>Jackson, Tricia:</t>
        </r>
        <r>
          <rPr>
            <sz val="9"/>
            <color indexed="81"/>
            <rFont val="Tahoma"/>
            <family val="2"/>
          </rPr>
          <t xml:space="preserve">
CA &amp; CT are classified as CC in EPA's spreadsheet</t>
        </r>
      </text>
    </comment>
    <comment ref="H10" authorId="0">
      <text>
        <r>
          <rPr>
            <b/>
            <sz val="9"/>
            <color indexed="81"/>
            <rFont val="Tahoma"/>
            <family val="2"/>
          </rPr>
          <t>Jackson, Tricia:</t>
        </r>
        <r>
          <rPr>
            <sz val="9"/>
            <color indexed="81"/>
            <rFont val="Tahoma"/>
            <family val="2"/>
          </rPr>
          <t xml:space="preserve">
Plant-level distributed according to NP</t>
        </r>
      </text>
    </comment>
    <comment ref="L10" authorId="0">
      <text>
        <r>
          <rPr>
            <b/>
            <sz val="9"/>
            <color indexed="81"/>
            <rFont val="Tahoma"/>
            <family val="2"/>
          </rPr>
          <t>Jackson, Tricia:</t>
        </r>
        <r>
          <rPr>
            <sz val="9"/>
            <color indexed="81"/>
            <rFont val="Tahoma"/>
            <family val="2"/>
          </rPr>
          <t xml:space="preserve">
AMPD value</t>
        </r>
      </text>
    </comment>
    <comment ref="F11" authorId="0">
      <text>
        <r>
          <rPr>
            <b/>
            <sz val="9"/>
            <color indexed="81"/>
            <rFont val="Tahoma"/>
            <family val="2"/>
          </rPr>
          <t>Jackson, Tricia:</t>
        </r>
        <r>
          <rPr>
            <sz val="9"/>
            <color indexed="81"/>
            <rFont val="Tahoma"/>
            <family val="2"/>
          </rPr>
          <t xml:space="preserve">
CA &amp; CT are classified as CC in EPA's spreadsheet</t>
        </r>
      </text>
    </comment>
    <comment ref="H11" authorId="0">
      <text>
        <r>
          <rPr>
            <b/>
            <sz val="9"/>
            <color indexed="81"/>
            <rFont val="Tahoma"/>
            <family val="2"/>
          </rPr>
          <t>Jackson, Tricia:</t>
        </r>
        <r>
          <rPr>
            <sz val="9"/>
            <color indexed="81"/>
            <rFont val="Tahoma"/>
            <family val="2"/>
          </rPr>
          <t xml:space="preserve">
Generator data</t>
        </r>
      </text>
    </comment>
    <comment ref="L11" authorId="0">
      <text>
        <r>
          <rPr>
            <b/>
            <sz val="9"/>
            <color indexed="81"/>
            <rFont val="Tahoma"/>
            <family val="2"/>
          </rPr>
          <t>Jackson, Tricia:</t>
        </r>
        <r>
          <rPr>
            <sz val="9"/>
            <color indexed="81"/>
            <rFont val="Tahoma"/>
            <family val="2"/>
          </rPr>
          <t xml:space="preserve">
Boiler data aggregated to generator</t>
        </r>
      </text>
    </comment>
    <comment ref="F12" authorId="0">
      <text>
        <r>
          <rPr>
            <b/>
            <sz val="9"/>
            <color indexed="81"/>
            <rFont val="Tahoma"/>
            <family val="2"/>
          </rPr>
          <t>Jackson, Tricia:</t>
        </r>
        <r>
          <rPr>
            <sz val="9"/>
            <color indexed="81"/>
            <rFont val="Tahoma"/>
            <family val="2"/>
          </rPr>
          <t xml:space="preserve">
CA &amp; CT are classified as CC in EPA's spreadsheet</t>
        </r>
      </text>
    </comment>
    <comment ref="H12" authorId="0">
      <text>
        <r>
          <rPr>
            <b/>
            <sz val="9"/>
            <color indexed="81"/>
            <rFont val="Tahoma"/>
            <family val="2"/>
          </rPr>
          <t>Jackson, Tricia:</t>
        </r>
        <r>
          <rPr>
            <sz val="9"/>
            <color indexed="81"/>
            <rFont val="Tahoma"/>
            <family val="2"/>
          </rPr>
          <t xml:space="preserve">
Plant-level distributed according to NP</t>
        </r>
      </text>
    </comment>
    <comment ref="L12" authorId="0">
      <text>
        <r>
          <rPr>
            <b/>
            <sz val="9"/>
            <color indexed="81"/>
            <rFont val="Tahoma"/>
            <family val="2"/>
          </rPr>
          <t>Jackson, Tricia:</t>
        </r>
        <r>
          <rPr>
            <sz val="9"/>
            <color indexed="81"/>
            <rFont val="Tahoma"/>
            <family val="2"/>
          </rPr>
          <t xml:space="preserve">
AMPD</t>
        </r>
      </text>
    </comment>
    <comment ref="F13" authorId="0">
      <text>
        <r>
          <rPr>
            <b/>
            <sz val="9"/>
            <color indexed="81"/>
            <rFont val="Tahoma"/>
            <family val="2"/>
          </rPr>
          <t>Jackson, Tricia:</t>
        </r>
        <r>
          <rPr>
            <sz val="9"/>
            <color indexed="81"/>
            <rFont val="Tahoma"/>
            <family val="2"/>
          </rPr>
          <t xml:space="preserve">
CA &amp; CT are classified as CC in EPA's spreadsheet</t>
        </r>
      </text>
    </comment>
    <comment ref="H13" authorId="0">
      <text>
        <r>
          <rPr>
            <b/>
            <sz val="9"/>
            <color indexed="81"/>
            <rFont val="Tahoma"/>
            <family val="2"/>
          </rPr>
          <t>Jackson, Tricia:</t>
        </r>
        <r>
          <rPr>
            <sz val="9"/>
            <color indexed="81"/>
            <rFont val="Tahoma"/>
            <family val="2"/>
          </rPr>
          <t xml:space="preserve">
Plant-level distributed according to NP</t>
        </r>
      </text>
    </comment>
    <comment ref="L13" authorId="0">
      <text>
        <r>
          <rPr>
            <b/>
            <sz val="9"/>
            <color indexed="81"/>
            <rFont val="Tahoma"/>
            <family val="2"/>
          </rPr>
          <t>Jackson, Tricia:</t>
        </r>
        <r>
          <rPr>
            <sz val="9"/>
            <color indexed="81"/>
            <rFont val="Tahoma"/>
            <family val="2"/>
          </rPr>
          <t xml:space="preserve">
AMPD</t>
        </r>
      </text>
    </comment>
    <comment ref="F14" authorId="0">
      <text>
        <r>
          <rPr>
            <b/>
            <sz val="9"/>
            <color indexed="81"/>
            <rFont val="Tahoma"/>
            <family val="2"/>
          </rPr>
          <t>Jackson, Tricia:</t>
        </r>
        <r>
          <rPr>
            <sz val="9"/>
            <color indexed="81"/>
            <rFont val="Tahoma"/>
            <family val="2"/>
          </rPr>
          <t xml:space="preserve">
CA &amp; CT are classified as CC in EPA's spreadsheet</t>
        </r>
      </text>
    </comment>
    <comment ref="H14" authorId="0">
      <text>
        <r>
          <rPr>
            <b/>
            <sz val="9"/>
            <color indexed="81"/>
            <rFont val="Tahoma"/>
            <family val="2"/>
          </rPr>
          <t>Jackson, Tricia:</t>
        </r>
        <r>
          <rPr>
            <sz val="9"/>
            <color indexed="81"/>
            <rFont val="Tahoma"/>
            <family val="2"/>
          </rPr>
          <t xml:space="preserve">
Plant-level distributed according to NP</t>
        </r>
      </text>
    </comment>
    <comment ref="L14" authorId="0">
      <text>
        <r>
          <rPr>
            <b/>
            <sz val="9"/>
            <color indexed="81"/>
            <rFont val="Tahoma"/>
            <family val="2"/>
          </rPr>
          <t>Jackson, Tricia:</t>
        </r>
        <r>
          <rPr>
            <sz val="9"/>
            <color indexed="81"/>
            <rFont val="Tahoma"/>
            <family val="2"/>
          </rPr>
          <t xml:space="preserve">
AMPD</t>
        </r>
      </text>
    </comment>
    <comment ref="F15" authorId="0">
      <text>
        <r>
          <rPr>
            <b/>
            <sz val="9"/>
            <color indexed="81"/>
            <rFont val="Tahoma"/>
            <family val="2"/>
          </rPr>
          <t>Jackson, Tricia:</t>
        </r>
        <r>
          <rPr>
            <sz val="9"/>
            <color indexed="81"/>
            <rFont val="Tahoma"/>
            <family val="2"/>
          </rPr>
          <t xml:space="preserve">
CA &amp; CT are classified as CC in EPA's spreadsheet</t>
        </r>
      </text>
    </comment>
    <comment ref="H15" authorId="0">
      <text>
        <r>
          <rPr>
            <b/>
            <sz val="9"/>
            <color indexed="81"/>
            <rFont val="Tahoma"/>
            <family val="2"/>
          </rPr>
          <t>Jackson, Tricia:</t>
        </r>
        <r>
          <rPr>
            <sz val="9"/>
            <color indexed="81"/>
            <rFont val="Tahoma"/>
            <family val="2"/>
          </rPr>
          <t xml:space="preserve">
Plant-level distributed according to NP</t>
        </r>
      </text>
    </comment>
    <comment ref="L15" authorId="0">
      <text>
        <r>
          <rPr>
            <b/>
            <sz val="9"/>
            <color indexed="81"/>
            <rFont val="Tahoma"/>
            <family val="2"/>
          </rPr>
          <t>Jackson, Tricia:</t>
        </r>
        <r>
          <rPr>
            <sz val="9"/>
            <color indexed="81"/>
            <rFont val="Tahoma"/>
            <family val="2"/>
          </rPr>
          <t xml:space="preserve">
AMPD</t>
        </r>
      </text>
    </comment>
    <comment ref="F16" authorId="0">
      <text>
        <r>
          <rPr>
            <b/>
            <sz val="9"/>
            <color indexed="81"/>
            <rFont val="Tahoma"/>
            <family val="2"/>
          </rPr>
          <t>Jackson, Tricia:</t>
        </r>
        <r>
          <rPr>
            <sz val="9"/>
            <color indexed="81"/>
            <rFont val="Tahoma"/>
            <family val="2"/>
          </rPr>
          <t xml:space="preserve">
CA &amp; CT are classified as CC in EPA's spreadsheet</t>
        </r>
      </text>
    </comment>
    <comment ref="H16" authorId="0">
      <text>
        <r>
          <rPr>
            <b/>
            <sz val="9"/>
            <color indexed="81"/>
            <rFont val="Tahoma"/>
            <family val="2"/>
          </rPr>
          <t>Jackson, Tricia:</t>
        </r>
        <r>
          <rPr>
            <sz val="9"/>
            <color indexed="81"/>
            <rFont val="Tahoma"/>
            <family val="2"/>
          </rPr>
          <t xml:space="preserve">
Plant-level distributed according to NP</t>
        </r>
      </text>
    </comment>
    <comment ref="L16" authorId="0">
      <text>
        <r>
          <rPr>
            <b/>
            <sz val="9"/>
            <color indexed="81"/>
            <rFont val="Tahoma"/>
            <family val="2"/>
          </rPr>
          <t>Jackson, Tricia:</t>
        </r>
        <r>
          <rPr>
            <sz val="9"/>
            <color indexed="81"/>
            <rFont val="Tahoma"/>
            <family val="2"/>
          </rPr>
          <t xml:space="preserve">
AMPD</t>
        </r>
      </text>
    </comment>
    <comment ref="F17" authorId="0">
      <text>
        <r>
          <rPr>
            <b/>
            <sz val="9"/>
            <color indexed="81"/>
            <rFont val="Tahoma"/>
            <family val="2"/>
          </rPr>
          <t>Jackson, Tricia:</t>
        </r>
        <r>
          <rPr>
            <sz val="9"/>
            <color indexed="81"/>
            <rFont val="Tahoma"/>
            <family val="2"/>
          </rPr>
          <t xml:space="preserve">
CA &amp; CT are classified as CC in EPA's spreadsheet</t>
        </r>
      </text>
    </comment>
    <comment ref="H17" authorId="0">
      <text>
        <r>
          <rPr>
            <b/>
            <sz val="9"/>
            <color indexed="81"/>
            <rFont val="Tahoma"/>
            <family val="2"/>
          </rPr>
          <t>Jackson, Tricia:</t>
        </r>
        <r>
          <rPr>
            <sz val="9"/>
            <color indexed="81"/>
            <rFont val="Tahoma"/>
            <family val="2"/>
          </rPr>
          <t xml:space="preserve">
Plant-level distributed according to NP</t>
        </r>
      </text>
    </comment>
    <comment ref="L17" authorId="0">
      <text>
        <r>
          <rPr>
            <b/>
            <sz val="9"/>
            <color indexed="81"/>
            <rFont val="Tahoma"/>
            <family val="2"/>
          </rPr>
          <t>Jackson, Tricia:</t>
        </r>
        <r>
          <rPr>
            <sz val="9"/>
            <color indexed="81"/>
            <rFont val="Tahoma"/>
            <family val="2"/>
          </rPr>
          <t xml:space="preserve">
AMPD</t>
        </r>
      </text>
    </comment>
    <comment ref="F18" authorId="0">
      <text>
        <r>
          <rPr>
            <b/>
            <sz val="9"/>
            <color indexed="81"/>
            <rFont val="Tahoma"/>
            <family val="2"/>
          </rPr>
          <t>Jackson, Tricia:</t>
        </r>
        <r>
          <rPr>
            <sz val="9"/>
            <color indexed="81"/>
            <rFont val="Tahoma"/>
            <family val="2"/>
          </rPr>
          <t xml:space="preserve">
CA &amp; CT are classified as CC in EPA's spreadsheet</t>
        </r>
      </text>
    </comment>
    <comment ref="H18" authorId="0">
      <text>
        <r>
          <rPr>
            <b/>
            <sz val="9"/>
            <color indexed="81"/>
            <rFont val="Tahoma"/>
            <family val="2"/>
          </rPr>
          <t>Jackson, Tricia:</t>
        </r>
        <r>
          <rPr>
            <sz val="9"/>
            <color indexed="81"/>
            <rFont val="Tahoma"/>
            <family val="2"/>
          </rPr>
          <t xml:space="preserve">
Plant-level distributed according to NP</t>
        </r>
      </text>
    </comment>
    <comment ref="L18" authorId="0">
      <text>
        <r>
          <rPr>
            <b/>
            <sz val="9"/>
            <color indexed="81"/>
            <rFont val="Tahoma"/>
            <family val="2"/>
          </rPr>
          <t>Jackson, Tricia:</t>
        </r>
        <r>
          <rPr>
            <sz val="9"/>
            <color indexed="81"/>
            <rFont val="Tahoma"/>
            <family val="2"/>
          </rPr>
          <t xml:space="preserve">
AMPD</t>
        </r>
      </text>
    </comment>
    <comment ref="F19" authorId="0">
      <text>
        <r>
          <rPr>
            <b/>
            <sz val="9"/>
            <color indexed="81"/>
            <rFont val="Tahoma"/>
            <family val="2"/>
          </rPr>
          <t>Jackson, Tricia:</t>
        </r>
        <r>
          <rPr>
            <sz val="9"/>
            <color indexed="81"/>
            <rFont val="Tahoma"/>
            <family val="2"/>
          </rPr>
          <t xml:space="preserve">
CA &amp; CT are classified as CC in EPA's spreadsheet</t>
        </r>
      </text>
    </comment>
    <comment ref="H19" authorId="0">
      <text>
        <r>
          <rPr>
            <b/>
            <sz val="9"/>
            <color indexed="81"/>
            <rFont val="Tahoma"/>
            <family val="2"/>
          </rPr>
          <t>Jackson, Tricia:</t>
        </r>
        <r>
          <rPr>
            <sz val="9"/>
            <color indexed="81"/>
            <rFont val="Tahoma"/>
            <family val="2"/>
          </rPr>
          <t xml:space="preserve">
Generator Data</t>
        </r>
      </text>
    </comment>
    <comment ref="L19" authorId="0">
      <text>
        <r>
          <rPr>
            <b/>
            <sz val="9"/>
            <color indexed="81"/>
            <rFont val="Tahoma"/>
            <family val="2"/>
          </rPr>
          <t>Jackson, Tricia:</t>
        </r>
        <r>
          <rPr>
            <sz val="9"/>
            <color indexed="81"/>
            <rFont val="Tahoma"/>
            <family val="2"/>
          </rPr>
          <t xml:space="preserve">
Plant-level CA emissions distributed to CA units according to NP</t>
        </r>
      </text>
    </comment>
    <comment ref="F20" authorId="0">
      <text>
        <r>
          <rPr>
            <b/>
            <sz val="9"/>
            <color indexed="81"/>
            <rFont val="Tahoma"/>
            <family val="2"/>
          </rPr>
          <t>Jackson, Tricia:</t>
        </r>
        <r>
          <rPr>
            <sz val="9"/>
            <color indexed="81"/>
            <rFont val="Tahoma"/>
            <family val="2"/>
          </rPr>
          <t xml:space="preserve">
CA &amp; CT are classified as CC in EPA's spreadsheet</t>
        </r>
      </text>
    </comment>
    <comment ref="H20" authorId="0">
      <text>
        <r>
          <rPr>
            <b/>
            <sz val="9"/>
            <color indexed="81"/>
            <rFont val="Tahoma"/>
            <family val="2"/>
          </rPr>
          <t>Jackson, Tricia:</t>
        </r>
        <r>
          <rPr>
            <sz val="9"/>
            <color indexed="81"/>
            <rFont val="Tahoma"/>
            <family val="2"/>
          </rPr>
          <t xml:space="preserve">
Plant Level CA generation minus G8 generation</t>
        </r>
      </text>
    </comment>
    <comment ref="L20" authorId="0">
      <text>
        <r>
          <rPr>
            <b/>
            <sz val="9"/>
            <color indexed="81"/>
            <rFont val="Tahoma"/>
            <family val="2"/>
          </rPr>
          <t>Jackson, Tricia:</t>
        </r>
        <r>
          <rPr>
            <sz val="9"/>
            <color indexed="81"/>
            <rFont val="Tahoma"/>
            <family val="2"/>
          </rPr>
          <t xml:space="preserve">
Plant-level CA emissions distributed to CA units according to NP</t>
        </r>
      </text>
    </comment>
    <comment ref="F21" authorId="0">
      <text>
        <r>
          <rPr>
            <b/>
            <sz val="9"/>
            <color indexed="81"/>
            <rFont val="Tahoma"/>
            <family val="2"/>
          </rPr>
          <t>Jackson, Tricia:</t>
        </r>
        <r>
          <rPr>
            <sz val="9"/>
            <color indexed="81"/>
            <rFont val="Tahoma"/>
            <family val="2"/>
          </rPr>
          <t xml:space="preserve">
CA &amp; CT are classified as CC in EPA's spreadsheet</t>
        </r>
      </text>
    </comment>
    <comment ref="H21" authorId="0">
      <text>
        <r>
          <rPr>
            <b/>
            <sz val="9"/>
            <color indexed="81"/>
            <rFont val="Tahoma"/>
            <family val="2"/>
          </rPr>
          <t>Jackson, Tricia:</t>
        </r>
        <r>
          <rPr>
            <sz val="9"/>
            <color indexed="81"/>
            <rFont val="Tahoma"/>
            <family val="2"/>
          </rPr>
          <t xml:space="preserve">
Plant Level CT generation distributed according to NP to operating units</t>
        </r>
      </text>
    </comment>
    <comment ref="L21" authorId="0">
      <text>
        <r>
          <rPr>
            <b/>
            <sz val="9"/>
            <color indexed="81"/>
            <rFont val="Tahoma"/>
            <family val="2"/>
          </rPr>
          <t>Jackson, Tricia:</t>
        </r>
        <r>
          <rPr>
            <sz val="9"/>
            <color indexed="81"/>
            <rFont val="Tahoma"/>
            <family val="2"/>
          </rPr>
          <t xml:space="preserve">
AMPD</t>
        </r>
      </text>
    </comment>
    <comment ref="F22" authorId="0">
      <text>
        <r>
          <rPr>
            <b/>
            <sz val="9"/>
            <color indexed="81"/>
            <rFont val="Tahoma"/>
            <family val="2"/>
          </rPr>
          <t>Jackson, Tricia:</t>
        </r>
        <r>
          <rPr>
            <sz val="9"/>
            <color indexed="81"/>
            <rFont val="Tahoma"/>
            <family val="2"/>
          </rPr>
          <t xml:space="preserve">
CA &amp; CT are classified as CC in EPA's spreadsheet</t>
        </r>
      </text>
    </comment>
    <comment ref="H22" authorId="0">
      <text>
        <r>
          <rPr>
            <b/>
            <sz val="9"/>
            <color indexed="81"/>
            <rFont val="Tahoma"/>
            <family val="2"/>
          </rPr>
          <t>Jackson, Tricia:</t>
        </r>
        <r>
          <rPr>
            <sz val="9"/>
            <color indexed="81"/>
            <rFont val="Tahoma"/>
            <family val="2"/>
          </rPr>
          <t xml:space="preserve">
Plant Level CT generation distributed according to NP to operating units</t>
        </r>
      </text>
    </comment>
    <comment ref="L22" authorId="0">
      <text>
        <r>
          <rPr>
            <b/>
            <sz val="9"/>
            <color indexed="81"/>
            <rFont val="Tahoma"/>
            <family val="2"/>
          </rPr>
          <t>Jackson, Tricia:</t>
        </r>
        <r>
          <rPr>
            <sz val="9"/>
            <color indexed="81"/>
            <rFont val="Tahoma"/>
            <family val="2"/>
          </rPr>
          <t xml:space="preserve">
AMPD</t>
        </r>
      </text>
    </comment>
    <comment ref="F23" authorId="0">
      <text>
        <r>
          <rPr>
            <b/>
            <sz val="9"/>
            <color indexed="81"/>
            <rFont val="Tahoma"/>
            <family val="2"/>
          </rPr>
          <t>Jackson, Tricia:</t>
        </r>
        <r>
          <rPr>
            <sz val="9"/>
            <color indexed="81"/>
            <rFont val="Tahoma"/>
            <family val="2"/>
          </rPr>
          <t xml:space="preserve">
CA &amp; CT are classified as CC in EPA's spreadsheet</t>
        </r>
      </text>
    </comment>
    <comment ref="H23" authorId="0">
      <text>
        <r>
          <rPr>
            <b/>
            <sz val="9"/>
            <color indexed="81"/>
            <rFont val="Tahoma"/>
            <family val="2"/>
          </rPr>
          <t>Jackson, Tricia:</t>
        </r>
        <r>
          <rPr>
            <sz val="9"/>
            <color indexed="81"/>
            <rFont val="Tahoma"/>
            <family val="2"/>
          </rPr>
          <t xml:space="preserve">
Generator data</t>
        </r>
      </text>
    </comment>
    <comment ref="L23" authorId="0">
      <text>
        <r>
          <rPr>
            <b/>
            <sz val="9"/>
            <color indexed="81"/>
            <rFont val="Tahoma"/>
            <family val="2"/>
          </rPr>
          <t>Jackson, Tricia:</t>
        </r>
        <r>
          <rPr>
            <sz val="9"/>
            <color indexed="81"/>
            <rFont val="Tahoma"/>
            <family val="2"/>
          </rPr>
          <t xml:space="preserve">
Boiler level aggregated to generator</t>
        </r>
      </text>
    </comment>
    <comment ref="F24" authorId="0">
      <text>
        <r>
          <rPr>
            <b/>
            <sz val="9"/>
            <color indexed="81"/>
            <rFont val="Tahoma"/>
            <family val="2"/>
          </rPr>
          <t>Jackson, Tricia:</t>
        </r>
        <r>
          <rPr>
            <sz val="9"/>
            <color indexed="81"/>
            <rFont val="Tahoma"/>
            <family val="2"/>
          </rPr>
          <t xml:space="preserve">
CA &amp; CT are classified as CC in EPA's spreadsheet</t>
        </r>
      </text>
    </comment>
    <comment ref="H24" authorId="0">
      <text>
        <r>
          <rPr>
            <b/>
            <sz val="9"/>
            <color indexed="81"/>
            <rFont val="Tahoma"/>
            <family val="2"/>
          </rPr>
          <t>Jackson, Tricia:</t>
        </r>
        <r>
          <rPr>
            <sz val="9"/>
            <color indexed="81"/>
            <rFont val="Tahoma"/>
            <family val="2"/>
          </rPr>
          <t xml:space="preserve">
Plant-level CT generation distributed according to NP</t>
        </r>
      </text>
    </comment>
    <comment ref="L24" authorId="0">
      <text>
        <r>
          <rPr>
            <b/>
            <sz val="9"/>
            <color indexed="81"/>
            <rFont val="Tahoma"/>
            <family val="2"/>
          </rPr>
          <t>Jackson, Tricia:</t>
        </r>
        <r>
          <rPr>
            <sz val="9"/>
            <color indexed="81"/>
            <rFont val="Tahoma"/>
            <family val="2"/>
          </rPr>
          <t xml:space="preserve">
AMPD </t>
        </r>
      </text>
    </comment>
    <comment ref="F25" authorId="0">
      <text>
        <r>
          <rPr>
            <b/>
            <sz val="9"/>
            <color indexed="81"/>
            <rFont val="Tahoma"/>
            <family val="2"/>
          </rPr>
          <t>Jackson, Tricia:</t>
        </r>
        <r>
          <rPr>
            <sz val="9"/>
            <color indexed="81"/>
            <rFont val="Tahoma"/>
            <family val="2"/>
          </rPr>
          <t xml:space="preserve">
CA &amp; CT are classified as CC in EPA's spreadsheet</t>
        </r>
      </text>
    </comment>
    <comment ref="H25" authorId="0">
      <text>
        <r>
          <rPr>
            <b/>
            <sz val="9"/>
            <color indexed="81"/>
            <rFont val="Tahoma"/>
            <family val="2"/>
          </rPr>
          <t>Jackson, Tricia:</t>
        </r>
        <r>
          <rPr>
            <sz val="9"/>
            <color indexed="81"/>
            <rFont val="Tahoma"/>
            <family val="2"/>
          </rPr>
          <t xml:space="preserve">
Plant-level CT generation distributed according to NP</t>
        </r>
      </text>
    </comment>
    <comment ref="L25" authorId="0">
      <text>
        <r>
          <rPr>
            <b/>
            <sz val="9"/>
            <color indexed="81"/>
            <rFont val="Tahoma"/>
            <family val="2"/>
          </rPr>
          <t>Jackson, Tricia:</t>
        </r>
        <r>
          <rPr>
            <sz val="9"/>
            <color indexed="81"/>
            <rFont val="Tahoma"/>
            <family val="2"/>
          </rPr>
          <t xml:space="preserve">
AMPD</t>
        </r>
      </text>
    </comment>
    <comment ref="F26" authorId="0">
      <text>
        <r>
          <rPr>
            <b/>
            <sz val="9"/>
            <color indexed="81"/>
            <rFont val="Tahoma"/>
            <family val="2"/>
          </rPr>
          <t>Jackson, Tricia:</t>
        </r>
        <r>
          <rPr>
            <sz val="9"/>
            <color indexed="81"/>
            <rFont val="Tahoma"/>
            <family val="2"/>
          </rPr>
          <t xml:space="preserve">
CA &amp; CT are classified as CC in EPA's spreadsheet</t>
        </r>
      </text>
    </comment>
    <comment ref="H26" authorId="0">
      <text>
        <r>
          <rPr>
            <b/>
            <sz val="9"/>
            <color indexed="81"/>
            <rFont val="Tahoma"/>
            <family val="2"/>
          </rPr>
          <t>Jackson, Tricia:</t>
        </r>
        <r>
          <rPr>
            <sz val="9"/>
            <color indexed="81"/>
            <rFont val="Tahoma"/>
            <family val="2"/>
          </rPr>
          <t xml:space="preserve">
Generator data</t>
        </r>
      </text>
    </comment>
    <comment ref="L26" authorId="0">
      <text>
        <r>
          <rPr>
            <b/>
            <sz val="9"/>
            <color indexed="81"/>
            <rFont val="Tahoma"/>
            <family val="2"/>
          </rPr>
          <t>Jackson, Tricia:</t>
        </r>
        <r>
          <rPr>
            <sz val="9"/>
            <color indexed="81"/>
            <rFont val="Tahoma"/>
            <family val="2"/>
          </rPr>
          <t xml:space="preserve">
Boiler level aggregated to generator</t>
        </r>
      </text>
    </comment>
    <comment ref="F27" authorId="0">
      <text>
        <r>
          <rPr>
            <b/>
            <sz val="9"/>
            <color indexed="81"/>
            <rFont val="Tahoma"/>
            <family val="2"/>
          </rPr>
          <t>Jackson, Tricia:</t>
        </r>
        <r>
          <rPr>
            <sz val="9"/>
            <color indexed="81"/>
            <rFont val="Tahoma"/>
            <family val="2"/>
          </rPr>
          <t xml:space="preserve">
CA &amp; CT are classified as CC in EPA's spreadsheet</t>
        </r>
      </text>
    </comment>
    <comment ref="H27" authorId="0">
      <text>
        <r>
          <rPr>
            <b/>
            <sz val="9"/>
            <color indexed="81"/>
            <rFont val="Tahoma"/>
            <family val="2"/>
          </rPr>
          <t>Jackson, Tricia:</t>
        </r>
        <r>
          <rPr>
            <sz val="9"/>
            <color indexed="81"/>
            <rFont val="Tahoma"/>
            <family val="2"/>
          </rPr>
          <t xml:space="preserve">
Plant-level distributed according to NP</t>
        </r>
      </text>
    </comment>
    <comment ref="L27" authorId="0">
      <text>
        <r>
          <rPr>
            <b/>
            <sz val="9"/>
            <color indexed="81"/>
            <rFont val="Tahoma"/>
            <family val="2"/>
          </rPr>
          <t>Jackson, Tricia:</t>
        </r>
        <r>
          <rPr>
            <sz val="9"/>
            <color indexed="81"/>
            <rFont val="Tahoma"/>
            <family val="2"/>
          </rPr>
          <t xml:space="preserve">
AMPD</t>
        </r>
      </text>
    </comment>
    <comment ref="F28" authorId="0">
      <text>
        <r>
          <rPr>
            <b/>
            <sz val="9"/>
            <color indexed="81"/>
            <rFont val="Tahoma"/>
            <family val="2"/>
          </rPr>
          <t>Jackson, Tricia:</t>
        </r>
        <r>
          <rPr>
            <sz val="9"/>
            <color indexed="81"/>
            <rFont val="Tahoma"/>
            <family val="2"/>
          </rPr>
          <t xml:space="preserve">
CA &amp; CT are classified as CC in EPA's spreadsheet</t>
        </r>
      </text>
    </comment>
    <comment ref="H28" authorId="0">
      <text>
        <r>
          <rPr>
            <b/>
            <sz val="9"/>
            <color indexed="81"/>
            <rFont val="Tahoma"/>
            <family val="2"/>
          </rPr>
          <t>Jackson, Tricia:</t>
        </r>
        <r>
          <rPr>
            <sz val="9"/>
            <color indexed="81"/>
            <rFont val="Tahoma"/>
            <family val="2"/>
          </rPr>
          <t xml:space="preserve">
Generator Data</t>
        </r>
      </text>
    </comment>
    <comment ref="L28" authorId="0">
      <text>
        <r>
          <rPr>
            <b/>
            <sz val="9"/>
            <color indexed="81"/>
            <rFont val="Tahoma"/>
            <family val="2"/>
          </rPr>
          <t>Jackson, Tricia:</t>
        </r>
        <r>
          <rPr>
            <sz val="9"/>
            <color indexed="81"/>
            <rFont val="Tahoma"/>
            <family val="2"/>
          </rPr>
          <t xml:space="preserve">
Boiler level aggregated to unit level</t>
        </r>
      </text>
    </comment>
    <comment ref="F29" authorId="0">
      <text>
        <r>
          <rPr>
            <b/>
            <sz val="9"/>
            <color indexed="81"/>
            <rFont val="Tahoma"/>
            <family val="2"/>
          </rPr>
          <t>Jackson, Tricia:</t>
        </r>
        <r>
          <rPr>
            <sz val="9"/>
            <color indexed="81"/>
            <rFont val="Tahoma"/>
            <family val="2"/>
          </rPr>
          <t xml:space="preserve">
CA &amp; CT are classified as CC in EPA's spreadsheet</t>
        </r>
      </text>
    </comment>
    <comment ref="H29" authorId="0">
      <text>
        <r>
          <rPr>
            <b/>
            <sz val="9"/>
            <color indexed="81"/>
            <rFont val="Tahoma"/>
            <family val="2"/>
          </rPr>
          <t>Jackson, Tricia:</t>
        </r>
        <r>
          <rPr>
            <sz val="9"/>
            <color indexed="81"/>
            <rFont val="Tahoma"/>
            <family val="2"/>
          </rPr>
          <t xml:space="preserve">
Generator data</t>
        </r>
      </text>
    </comment>
    <comment ref="L29" authorId="0">
      <text>
        <r>
          <rPr>
            <b/>
            <sz val="9"/>
            <color indexed="81"/>
            <rFont val="Tahoma"/>
            <family val="2"/>
          </rPr>
          <t>Jackson, Tricia:</t>
        </r>
        <r>
          <rPr>
            <sz val="9"/>
            <color indexed="81"/>
            <rFont val="Tahoma"/>
            <family val="2"/>
          </rPr>
          <t xml:space="preserve">
Boiler level aggregated to generator</t>
        </r>
      </text>
    </comment>
    <comment ref="F30" authorId="0">
      <text>
        <r>
          <rPr>
            <b/>
            <sz val="9"/>
            <color indexed="81"/>
            <rFont val="Tahoma"/>
            <family val="2"/>
          </rPr>
          <t>Jackson, Tricia:</t>
        </r>
        <r>
          <rPr>
            <sz val="9"/>
            <color indexed="81"/>
            <rFont val="Tahoma"/>
            <family val="2"/>
          </rPr>
          <t xml:space="preserve">
CA &amp; CT are classified as CC in EPA's spreadsheet</t>
        </r>
      </text>
    </comment>
    <comment ref="H30" authorId="0">
      <text>
        <r>
          <rPr>
            <b/>
            <sz val="9"/>
            <color indexed="81"/>
            <rFont val="Tahoma"/>
            <family val="2"/>
          </rPr>
          <t>Jackson, Tricia:</t>
        </r>
        <r>
          <rPr>
            <sz val="9"/>
            <color indexed="81"/>
            <rFont val="Tahoma"/>
            <family val="2"/>
          </rPr>
          <t xml:space="preserve">
Plant-level CT data distributed according to NP</t>
        </r>
      </text>
    </comment>
    <comment ref="L30" authorId="0">
      <text>
        <r>
          <rPr>
            <b/>
            <sz val="9"/>
            <color indexed="81"/>
            <rFont val="Tahoma"/>
            <family val="2"/>
          </rPr>
          <t>Jackson, Tricia:</t>
        </r>
        <r>
          <rPr>
            <sz val="9"/>
            <color indexed="81"/>
            <rFont val="Tahoma"/>
            <family val="2"/>
          </rPr>
          <t xml:space="preserve">
AMPD</t>
        </r>
      </text>
    </comment>
    <comment ref="F31" authorId="0">
      <text>
        <r>
          <rPr>
            <b/>
            <sz val="9"/>
            <color indexed="81"/>
            <rFont val="Tahoma"/>
            <family val="2"/>
          </rPr>
          <t>Jackson, Tricia:</t>
        </r>
        <r>
          <rPr>
            <sz val="9"/>
            <color indexed="81"/>
            <rFont val="Tahoma"/>
            <family val="2"/>
          </rPr>
          <t xml:space="preserve">
CA &amp; CT are classified as CC in EPA's spreadsheet</t>
        </r>
      </text>
    </comment>
    <comment ref="H31" authorId="0">
      <text>
        <r>
          <rPr>
            <b/>
            <sz val="9"/>
            <color indexed="81"/>
            <rFont val="Tahoma"/>
            <family val="2"/>
          </rPr>
          <t>Jackson, Tricia:</t>
        </r>
        <r>
          <rPr>
            <sz val="9"/>
            <color indexed="81"/>
            <rFont val="Tahoma"/>
            <family val="2"/>
          </rPr>
          <t xml:space="preserve">
Plant-level CT generation distributed among CT units according to NP</t>
        </r>
      </text>
    </comment>
    <comment ref="L31" authorId="0">
      <text>
        <r>
          <rPr>
            <b/>
            <sz val="9"/>
            <color indexed="81"/>
            <rFont val="Tahoma"/>
            <family val="2"/>
          </rPr>
          <t>Jackson, Tricia:</t>
        </r>
        <r>
          <rPr>
            <sz val="9"/>
            <color indexed="81"/>
            <rFont val="Tahoma"/>
            <family val="2"/>
          </rPr>
          <t xml:space="preserve">
AMPD</t>
        </r>
      </text>
    </comment>
    <comment ref="F32" authorId="0">
      <text>
        <r>
          <rPr>
            <b/>
            <sz val="9"/>
            <color indexed="81"/>
            <rFont val="Tahoma"/>
            <family val="2"/>
          </rPr>
          <t>Jackson, Tricia:</t>
        </r>
        <r>
          <rPr>
            <sz val="9"/>
            <color indexed="81"/>
            <rFont val="Tahoma"/>
            <family val="2"/>
          </rPr>
          <t xml:space="preserve">
CA &amp; CT are classified as CC in EPA's spreadsheet</t>
        </r>
      </text>
    </comment>
    <comment ref="H32" authorId="0">
      <text>
        <r>
          <rPr>
            <b/>
            <sz val="9"/>
            <color indexed="81"/>
            <rFont val="Tahoma"/>
            <family val="2"/>
          </rPr>
          <t>Jackson, Tricia:</t>
        </r>
        <r>
          <rPr>
            <sz val="9"/>
            <color indexed="81"/>
            <rFont val="Tahoma"/>
            <family val="2"/>
          </rPr>
          <t xml:space="preserve">
Plant-level CT generation distributed among CT units according to NP</t>
        </r>
      </text>
    </comment>
    <comment ref="L32" authorId="0">
      <text>
        <r>
          <rPr>
            <b/>
            <sz val="9"/>
            <color indexed="81"/>
            <rFont val="Tahoma"/>
            <family val="2"/>
          </rPr>
          <t>Jackson, Tricia:</t>
        </r>
        <r>
          <rPr>
            <sz val="9"/>
            <color indexed="81"/>
            <rFont val="Tahoma"/>
            <family val="2"/>
          </rPr>
          <t xml:space="preserve">
AMPD</t>
        </r>
      </text>
    </comment>
    <comment ref="F33" authorId="0">
      <text>
        <r>
          <rPr>
            <b/>
            <sz val="9"/>
            <color indexed="81"/>
            <rFont val="Tahoma"/>
            <family val="2"/>
          </rPr>
          <t>Jackson, Tricia:</t>
        </r>
        <r>
          <rPr>
            <sz val="9"/>
            <color indexed="81"/>
            <rFont val="Tahoma"/>
            <family val="2"/>
          </rPr>
          <t xml:space="preserve">
CA &amp; CT are classified as CC in EPA's spreadsheet</t>
        </r>
      </text>
    </comment>
    <comment ref="H33" authorId="0">
      <text>
        <r>
          <rPr>
            <b/>
            <sz val="9"/>
            <color indexed="81"/>
            <rFont val="Tahoma"/>
            <family val="2"/>
          </rPr>
          <t>Jackson, Tricia:</t>
        </r>
        <r>
          <rPr>
            <sz val="9"/>
            <color indexed="81"/>
            <rFont val="Tahoma"/>
            <family val="2"/>
          </rPr>
          <t xml:space="preserve">
Plant-level CT generation distributed among CT units according to NP</t>
        </r>
      </text>
    </comment>
    <comment ref="L33" authorId="0">
      <text>
        <r>
          <rPr>
            <b/>
            <sz val="9"/>
            <color indexed="81"/>
            <rFont val="Tahoma"/>
            <family val="2"/>
          </rPr>
          <t>Jackson, Tricia:</t>
        </r>
        <r>
          <rPr>
            <sz val="9"/>
            <color indexed="81"/>
            <rFont val="Tahoma"/>
            <family val="2"/>
          </rPr>
          <t xml:space="preserve">
AMPD</t>
        </r>
      </text>
    </comment>
    <comment ref="F34" authorId="0">
      <text>
        <r>
          <rPr>
            <b/>
            <sz val="9"/>
            <color indexed="81"/>
            <rFont val="Tahoma"/>
            <family val="2"/>
          </rPr>
          <t>Jackson, Tricia:</t>
        </r>
        <r>
          <rPr>
            <sz val="9"/>
            <color indexed="81"/>
            <rFont val="Tahoma"/>
            <family val="2"/>
          </rPr>
          <t xml:space="preserve">
CA &amp; CT are classified as CC in EPA's spreadsheet</t>
        </r>
      </text>
    </comment>
    <comment ref="H34" authorId="0">
      <text>
        <r>
          <rPr>
            <b/>
            <sz val="9"/>
            <color indexed="81"/>
            <rFont val="Tahoma"/>
            <family val="2"/>
          </rPr>
          <t>Jackson, Tricia:</t>
        </r>
        <r>
          <rPr>
            <sz val="9"/>
            <color indexed="81"/>
            <rFont val="Tahoma"/>
            <family val="2"/>
          </rPr>
          <t xml:space="preserve">
Plant-level CT generation distributed among CT units according to NP</t>
        </r>
      </text>
    </comment>
    <comment ref="L34" authorId="0">
      <text>
        <r>
          <rPr>
            <b/>
            <sz val="9"/>
            <color indexed="81"/>
            <rFont val="Tahoma"/>
            <family val="2"/>
          </rPr>
          <t>Jackson, Tricia:</t>
        </r>
        <r>
          <rPr>
            <sz val="9"/>
            <color indexed="81"/>
            <rFont val="Tahoma"/>
            <family val="2"/>
          </rPr>
          <t xml:space="preserve">
AMPD</t>
        </r>
      </text>
    </comment>
    <comment ref="F35" authorId="0">
      <text>
        <r>
          <rPr>
            <b/>
            <sz val="9"/>
            <color indexed="81"/>
            <rFont val="Tahoma"/>
            <family val="2"/>
          </rPr>
          <t>Jackson, Tricia:</t>
        </r>
        <r>
          <rPr>
            <sz val="9"/>
            <color indexed="81"/>
            <rFont val="Tahoma"/>
            <family val="2"/>
          </rPr>
          <t xml:space="preserve">
CA &amp; CT are classified as CC in EPA's spreadsheet</t>
        </r>
      </text>
    </comment>
    <comment ref="H35" authorId="0">
      <text>
        <r>
          <rPr>
            <b/>
            <sz val="9"/>
            <color indexed="81"/>
            <rFont val="Tahoma"/>
            <family val="2"/>
          </rPr>
          <t>Jackson, Tricia:</t>
        </r>
        <r>
          <rPr>
            <sz val="9"/>
            <color indexed="81"/>
            <rFont val="Tahoma"/>
            <family val="2"/>
          </rPr>
          <t xml:space="preserve">
Plant-level CT generation distributed among CT units according to NP</t>
        </r>
      </text>
    </comment>
    <comment ref="L35" authorId="0">
      <text>
        <r>
          <rPr>
            <b/>
            <sz val="9"/>
            <color indexed="81"/>
            <rFont val="Tahoma"/>
            <family val="2"/>
          </rPr>
          <t>Jackson, Tricia:</t>
        </r>
        <r>
          <rPr>
            <sz val="9"/>
            <color indexed="81"/>
            <rFont val="Tahoma"/>
            <family val="2"/>
          </rPr>
          <t xml:space="preserve">
AMPD</t>
        </r>
      </text>
    </comment>
    <comment ref="F36" authorId="0">
      <text>
        <r>
          <rPr>
            <b/>
            <sz val="9"/>
            <color indexed="81"/>
            <rFont val="Tahoma"/>
            <family val="2"/>
          </rPr>
          <t>Jackson, Tricia:</t>
        </r>
        <r>
          <rPr>
            <sz val="9"/>
            <color indexed="81"/>
            <rFont val="Tahoma"/>
            <family val="2"/>
          </rPr>
          <t xml:space="preserve">
CA &amp; CT are classified as CC in EPA's spreadsheet</t>
        </r>
      </text>
    </comment>
    <comment ref="H36" authorId="0">
      <text>
        <r>
          <rPr>
            <b/>
            <sz val="9"/>
            <color indexed="81"/>
            <rFont val="Tahoma"/>
            <family val="2"/>
          </rPr>
          <t>Jackson, Tricia:</t>
        </r>
        <r>
          <rPr>
            <sz val="9"/>
            <color indexed="81"/>
            <rFont val="Tahoma"/>
            <family val="2"/>
          </rPr>
          <t xml:space="preserve">
Plant-level CT generation distributed among CT units according to NP</t>
        </r>
      </text>
    </comment>
    <comment ref="L36" authorId="0">
      <text>
        <r>
          <rPr>
            <b/>
            <sz val="9"/>
            <color indexed="81"/>
            <rFont val="Tahoma"/>
            <family val="2"/>
          </rPr>
          <t>Jackson, Tricia:</t>
        </r>
        <r>
          <rPr>
            <sz val="9"/>
            <color indexed="81"/>
            <rFont val="Tahoma"/>
            <family val="2"/>
          </rPr>
          <t xml:space="preserve">
AMPD</t>
        </r>
      </text>
    </comment>
    <comment ref="F37" authorId="0">
      <text>
        <r>
          <rPr>
            <b/>
            <sz val="9"/>
            <color indexed="81"/>
            <rFont val="Tahoma"/>
            <family val="2"/>
          </rPr>
          <t>Jackson, Tricia:</t>
        </r>
        <r>
          <rPr>
            <sz val="9"/>
            <color indexed="81"/>
            <rFont val="Tahoma"/>
            <family val="2"/>
          </rPr>
          <t xml:space="preserve">
CA &amp; CT are classified as CC in EPA's spreadsheet</t>
        </r>
      </text>
    </comment>
    <comment ref="H37" authorId="0">
      <text>
        <r>
          <rPr>
            <b/>
            <sz val="9"/>
            <color indexed="81"/>
            <rFont val="Tahoma"/>
            <family val="2"/>
          </rPr>
          <t>Jackson, Tricia:</t>
        </r>
        <r>
          <rPr>
            <sz val="9"/>
            <color indexed="81"/>
            <rFont val="Tahoma"/>
            <family val="2"/>
          </rPr>
          <t xml:space="preserve">
Plant-level CT generation distributed among CT units according to NP</t>
        </r>
      </text>
    </comment>
    <comment ref="L37" authorId="0">
      <text>
        <r>
          <rPr>
            <b/>
            <sz val="9"/>
            <color indexed="81"/>
            <rFont val="Tahoma"/>
            <family val="2"/>
          </rPr>
          <t>Jackson, Tricia:</t>
        </r>
        <r>
          <rPr>
            <sz val="9"/>
            <color indexed="81"/>
            <rFont val="Tahoma"/>
            <family val="2"/>
          </rPr>
          <t xml:space="preserve">
AMPD</t>
        </r>
      </text>
    </comment>
    <comment ref="F38" authorId="0">
      <text>
        <r>
          <rPr>
            <b/>
            <sz val="9"/>
            <color indexed="81"/>
            <rFont val="Tahoma"/>
            <family val="2"/>
          </rPr>
          <t>Jackson, Tricia:</t>
        </r>
        <r>
          <rPr>
            <sz val="9"/>
            <color indexed="81"/>
            <rFont val="Tahoma"/>
            <family val="2"/>
          </rPr>
          <t xml:space="preserve">
CA &amp; CT are classified as CC in EPA's spreadsheet</t>
        </r>
      </text>
    </comment>
    <comment ref="H38" authorId="0">
      <text>
        <r>
          <rPr>
            <b/>
            <sz val="9"/>
            <color indexed="81"/>
            <rFont val="Tahoma"/>
            <family val="2"/>
          </rPr>
          <t>Jackson, Tricia:</t>
        </r>
        <r>
          <rPr>
            <sz val="9"/>
            <color indexed="81"/>
            <rFont val="Tahoma"/>
            <family val="2"/>
          </rPr>
          <t xml:space="preserve">
Plant-level CT generation distributed among CT units according to NP</t>
        </r>
      </text>
    </comment>
    <comment ref="L38" authorId="0">
      <text>
        <r>
          <rPr>
            <b/>
            <sz val="9"/>
            <color indexed="81"/>
            <rFont val="Tahoma"/>
            <family val="2"/>
          </rPr>
          <t>Jackson, Tricia:</t>
        </r>
        <r>
          <rPr>
            <sz val="9"/>
            <color indexed="81"/>
            <rFont val="Tahoma"/>
            <family val="2"/>
          </rPr>
          <t xml:space="preserve">
AMPD</t>
        </r>
      </text>
    </comment>
    <comment ref="F39" authorId="0">
      <text>
        <r>
          <rPr>
            <b/>
            <sz val="9"/>
            <color indexed="81"/>
            <rFont val="Tahoma"/>
            <family val="2"/>
          </rPr>
          <t>Jackson, Tricia:</t>
        </r>
        <r>
          <rPr>
            <sz val="9"/>
            <color indexed="81"/>
            <rFont val="Tahoma"/>
            <family val="2"/>
          </rPr>
          <t xml:space="preserve">
CA &amp; CT are classified as CC in EPA's spreadsheet</t>
        </r>
      </text>
    </comment>
    <comment ref="H39" authorId="0">
      <text>
        <r>
          <rPr>
            <b/>
            <sz val="9"/>
            <color indexed="81"/>
            <rFont val="Tahoma"/>
            <family val="2"/>
          </rPr>
          <t>Jackson, Tricia:</t>
        </r>
        <r>
          <rPr>
            <sz val="9"/>
            <color indexed="81"/>
            <rFont val="Tahoma"/>
            <family val="2"/>
          </rPr>
          <t xml:space="preserve">
Generator data</t>
        </r>
      </text>
    </comment>
    <comment ref="L39" authorId="0">
      <text>
        <r>
          <rPr>
            <b/>
            <sz val="9"/>
            <color indexed="81"/>
            <rFont val="Tahoma"/>
            <family val="2"/>
          </rPr>
          <t>Jackson, Tricia:</t>
        </r>
        <r>
          <rPr>
            <sz val="9"/>
            <color indexed="81"/>
            <rFont val="Tahoma"/>
            <family val="2"/>
          </rPr>
          <t xml:space="preserve">
Boiler data aggregated to generator</t>
        </r>
      </text>
    </comment>
    <comment ref="F40" authorId="0">
      <text>
        <r>
          <rPr>
            <b/>
            <sz val="9"/>
            <color indexed="81"/>
            <rFont val="Tahoma"/>
            <family val="2"/>
          </rPr>
          <t>Jackson, Tricia:</t>
        </r>
        <r>
          <rPr>
            <sz val="9"/>
            <color indexed="81"/>
            <rFont val="Tahoma"/>
            <family val="2"/>
          </rPr>
          <t xml:space="preserve">
CA &amp; CT are classified as CC in EPA's spreadsheet</t>
        </r>
      </text>
    </comment>
    <comment ref="H40" authorId="0">
      <text>
        <r>
          <rPr>
            <b/>
            <sz val="9"/>
            <color indexed="81"/>
            <rFont val="Tahoma"/>
            <family val="2"/>
          </rPr>
          <t>Jackson, Tricia:</t>
        </r>
        <r>
          <rPr>
            <sz val="9"/>
            <color indexed="81"/>
            <rFont val="Tahoma"/>
            <family val="2"/>
          </rPr>
          <t xml:space="preserve">
Generator data</t>
        </r>
      </text>
    </comment>
    <comment ref="L40" authorId="0">
      <text>
        <r>
          <rPr>
            <b/>
            <sz val="9"/>
            <color indexed="81"/>
            <rFont val="Tahoma"/>
            <family val="2"/>
          </rPr>
          <t>Jackson, Tricia:</t>
        </r>
        <r>
          <rPr>
            <sz val="9"/>
            <color indexed="81"/>
            <rFont val="Tahoma"/>
            <family val="2"/>
          </rPr>
          <t xml:space="preserve">
Boiler data aggregated to generator</t>
        </r>
      </text>
    </comment>
    <comment ref="F41" authorId="0">
      <text>
        <r>
          <rPr>
            <b/>
            <sz val="9"/>
            <color indexed="81"/>
            <rFont val="Tahoma"/>
            <family val="2"/>
          </rPr>
          <t>Jackson, Tricia:</t>
        </r>
        <r>
          <rPr>
            <sz val="9"/>
            <color indexed="81"/>
            <rFont val="Tahoma"/>
            <family val="2"/>
          </rPr>
          <t xml:space="preserve">
CA &amp; CT are classified as CC in EPA's spreadsheet</t>
        </r>
      </text>
    </comment>
    <comment ref="H41" authorId="0">
      <text>
        <r>
          <rPr>
            <b/>
            <sz val="9"/>
            <color indexed="81"/>
            <rFont val="Tahoma"/>
            <family val="2"/>
          </rPr>
          <t>Jackson, Tricia:</t>
        </r>
        <r>
          <rPr>
            <sz val="9"/>
            <color indexed="81"/>
            <rFont val="Tahoma"/>
            <family val="2"/>
          </rPr>
          <t xml:space="preserve">
Generator data</t>
        </r>
      </text>
    </comment>
    <comment ref="L41" authorId="0">
      <text>
        <r>
          <rPr>
            <b/>
            <sz val="9"/>
            <color indexed="81"/>
            <rFont val="Tahoma"/>
            <family val="2"/>
          </rPr>
          <t>Jackson, Tricia:</t>
        </r>
        <r>
          <rPr>
            <sz val="9"/>
            <color indexed="81"/>
            <rFont val="Tahoma"/>
            <family val="2"/>
          </rPr>
          <t xml:space="preserve">
Boiler data aggregated to generator</t>
        </r>
      </text>
    </comment>
    <comment ref="F42" authorId="0">
      <text>
        <r>
          <rPr>
            <b/>
            <sz val="9"/>
            <color indexed="81"/>
            <rFont val="Tahoma"/>
            <family val="2"/>
          </rPr>
          <t>Jackson, Tricia:</t>
        </r>
        <r>
          <rPr>
            <sz val="9"/>
            <color indexed="81"/>
            <rFont val="Tahoma"/>
            <family val="2"/>
          </rPr>
          <t xml:space="preserve">
CA &amp; CT are classified as CC in EPA's spreadsheet</t>
        </r>
      </text>
    </comment>
    <comment ref="H42" authorId="0">
      <text>
        <r>
          <rPr>
            <b/>
            <sz val="9"/>
            <color indexed="81"/>
            <rFont val="Tahoma"/>
            <family val="2"/>
          </rPr>
          <t>Jackson, Tricia:</t>
        </r>
        <r>
          <rPr>
            <sz val="9"/>
            <color indexed="81"/>
            <rFont val="Tahoma"/>
            <family val="2"/>
          </rPr>
          <t xml:space="preserve">
Generator data</t>
        </r>
      </text>
    </comment>
    <comment ref="L42" authorId="0">
      <text>
        <r>
          <rPr>
            <b/>
            <sz val="9"/>
            <color indexed="81"/>
            <rFont val="Tahoma"/>
            <family val="2"/>
          </rPr>
          <t>Jackson, Tricia:</t>
        </r>
        <r>
          <rPr>
            <sz val="9"/>
            <color indexed="81"/>
            <rFont val="Tahoma"/>
            <family val="2"/>
          </rPr>
          <t xml:space="preserve">
Boiler data aggregated to generator</t>
        </r>
      </text>
    </comment>
    <comment ref="H43" authorId="0">
      <text>
        <r>
          <rPr>
            <b/>
            <sz val="9"/>
            <color indexed="81"/>
            <rFont val="Tahoma"/>
            <family val="2"/>
          </rPr>
          <t>Jackson, Tricia:</t>
        </r>
        <r>
          <rPr>
            <sz val="9"/>
            <color indexed="81"/>
            <rFont val="Tahoma"/>
            <family val="2"/>
          </rPr>
          <t xml:space="preserve">
Generator Data</t>
        </r>
      </text>
    </comment>
    <comment ref="L43" authorId="0">
      <text>
        <r>
          <rPr>
            <b/>
            <sz val="9"/>
            <color indexed="81"/>
            <rFont val="Tahoma"/>
            <family val="2"/>
          </rPr>
          <t>Jackson, Tricia:</t>
        </r>
        <r>
          <rPr>
            <sz val="9"/>
            <color indexed="81"/>
            <rFont val="Tahoma"/>
            <family val="2"/>
          </rPr>
          <t xml:space="preserve">
AMPD </t>
        </r>
      </text>
    </comment>
    <comment ref="H44" authorId="0">
      <text>
        <r>
          <rPr>
            <b/>
            <sz val="9"/>
            <color indexed="81"/>
            <rFont val="Tahoma"/>
            <family val="2"/>
          </rPr>
          <t>Jackson, Tricia:</t>
        </r>
        <r>
          <rPr>
            <sz val="9"/>
            <color indexed="81"/>
            <rFont val="Tahoma"/>
            <family val="2"/>
          </rPr>
          <t xml:space="preserve">
Generator Data</t>
        </r>
      </text>
    </comment>
    <comment ref="L44" authorId="0">
      <text>
        <r>
          <rPr>
            <b/>
            <sz val="9"/>
            <color indexed="81"/>
            <rFont val="Tahoma"/>
            <family val="2"/>
          </rPr>
          <t>Jackson, Tricia:</t>
        </r>
        <r>
          <rPr>
            <sz val="9"/>
            <color indexed="81"/>
            <rFont val="Tahoma"/>
            <family val="2"/>
          </rPr>
          <t xml:space="preserve">
Boiler Data aggregated to generator</t>
        </r>
      </text>
    </comment>
    <comment ref="H45" authorId="0">
      <text>
        <r>
          <rPr>
            <b/>
            <sz val="9"/>
            <color indexed="81"/>
            <rFont val="Tahoma"/>
            <family val="2"/>
          </rPr>
          <t>Jackson, Tricia:</t>
        </r>
        <r>
          <rPr>
            <sz val="9"/>
            <color indexed="81"/>
            <rFont val="Tahoma"/>
            <family val="2"/>
          </rPr>
          <t xml:space="preserve">
Generator data</t>
        </r>
      </text>
    </comment>
    <comment ref="L45" authorId="0">
      <text>
        <r>
          <rPr>
            <b/>
            <sz val="9"/>
            <color indexed="81"/>
            <rFont val="Tahoma"/>
            <family val="2"/>
          </rPr>
          <t>Jackson, Tricia:</t>
        </r>
        <r>
          <rPr>
            <sz val="9"/>
            <color indexed="81"/>
            <rFont val="Tahoma"/>
            <family val="2"/>
          </rPr>
          <t xml:space="preserve">
AMPD value</t>
        </r>
      </text>
    </comment>
    <comment ref="H48" authorId="0">
      <text>
        <r>
          <rPr>
            <b/>
            <sz val="9"/>
            <color indexed="81"/>
            <rFont val="Tahoma"/>
            <family val="2"/>
          </rPr>
          <t>Jackson, Tricia:</t>
        </r>
        <r>
          <rPr>
            <sz val="9"/>
            <color indexed="81"/>
            <rFont val="Tahoma"/>
            <family val="2"/>
          </rPr>
          <t xml:space="preserve">
Generator Data</t>
        </r>
      </text>
    </comment>
    <comment ref="L48" authorId="0">
      <text>
        <r>
          <rPr>
            <b/>
            <sz val="9"/>
            <color indexed="81"/>
            <rFont val="Tahoma"/>
            <family val="2"/>
          </rPr>
          <t>Jackson, Tricia:</t>
        </r>
        <r>
          <rPr>
            <sz val="9"/>
            <color indexed="81"/>
            <rFont val="Tahoma"/>
            <family val="2"/>
          </rPr>
          <t xml:space="preserve">
Plant-Level distributed based on NP</t>
        </r>
      </text>
    </comment>
    <comment ref="H49" authorId="0">
      <text>
        <r>
          <rPr>
            <b/>
            <sz val="9"/>
            <color indexed="81"/>
            <rFont val="Tahoma"/>
            <family val="2"/>
          </rPr>
          <t>Jackson, Tricia:</t>
        </r>
        <r>
          <rPr>
            <sz val="9"/>
            <color indexed="81"/>
            <rFont val="Tahoma"/>
            <family val="2"/>
          </rPr>
          <t xml:space="preserve">
Generator Data </t>
        </r>
      </text>
    </comment>
    <comment ref="L49" authorId="0">
      <text>
        <r>
          <rPr>
            <b/>
            <sz val="9"/>
            <color indexed="81"/>
            <rFont val="Tahoma"/>
            <family val="2"/>
          </rPr>
          <t>Jackson, Tricia:</t>
        </r>
        <r>
          <rPr>
            <sz val="9"/>
            <color indexed="81"/>
            <rFont val="Tahoma"/>
            <family val="2"/>
          </rPr>
          <t xml:space="preserve">
Boiler Level data aggregated to generator</t>
        </r>
      </text>
    </comment>
    <comment ref="H50" authorId="0">
      <text>
        <r>
          <rPr>
            <b/>
            <sz val="9"/>
            <color indexed="81"/>
            <rFont val="Tahoma"/>
            <family val="2"/>
          </rPr>
          <t>Jackson, Tricia:</t>
        </r>
        <r>
          <rPr>
            <sz val="9"/>
            <color indexed="81"/>
            <rFont val="Tahoma"/>
            <family val="2"/>
          </rPr>
          <t xml:space="preserve">
Generator Data </t>
        </r>
      </text>
    </comment>
    <comment ref="L50" authorId="0">
      <text>
        <r>
          <rPr>
            <b/>
            <sz val="9"/>
            <color indexed="81"/>
            <rFont val="Tahoma"/>
            <family val="2"/>
          </rPr>
          <t>Jackson, Tricia:</t>
        </r>
        <r>
          <rPr>
            <sz val="9"/>
            <color indexed="81"/>
            <rFont val="Tahoma"/>
            <family val="2"/>
          </rPr>
          <t xml:space="preserve">
AMPD</t>
        </r>
      </text>
    </comment>
    <comment ref="H51" authorId="0">
      <text>
        <r>
          <rPr>
            <b/>
            <sz val="9"/>
            <color indexed="81"/>
            <rFont val="Tahoma"/>
            <family val="2"/>
          </rPr>
          <t>Jackson, Tricia:</t>
        </r>
        <r>
          <rPr>
            <sz val="9"/>
            <color indexed="81"/>
            <rFont val="Tahoma"/>
            <family val="2"/>
          </rPr>
          <t xml:space="preserve">
Generator Data </t>
        </r>
      </text>
    </comment>
    <comment ref="L51" authorId="0">
      <text>
        <r>
          <rPr>
            <b/>
            <sz val="9"/>
            <color indexed="81"/>
            <rFont val="Tahoma"/>
            <family val="2"/>
          </rPr>
          <t>Jackson, Tricia:</t>
        </r>
        <r>
          <rPr>
            <sz val="9"/>
            <color indexed="81"/>
            <rFont val="Tahoma"/>
            <family val="2"/>
          </rPr>
          <t xml:space="preserve">
AMPD </t>
        </r>
      </text>
    </comment>
    <comment ref="H52" authorId="0">
      <text>
        <r>
          <rPr>
            <b/>
            <sz val="9"/>
            <color indexed="81"/>
            <rFont val="Tahoma"/>
            <family val="2"/>
          </rPr>
          <t>Jackson, Tricia:</t>
        </r>
        <r>
          <rPr>
            <sz val="9"/>
            <color indexed="81"/>
            <rFont val="Tahoma"/>
            <family val="2"/>
          </rPr>
          <t xml:space="preserve">
Generator Data </t>
        </r>
      </text>
    </comment>
    <comment ref="L52" authorId="0">
      <text>
        <r>
          <rPr>
            <b/>
            <sz val="9"/>
            <color indexed="81"/>
            <rFont val="Tahoma"/>
            <family val="2"/>
          </rPr>
          <t>Jackson, Tricia:</t>
        </r>
        <r>
          <rPr>
            <sz val="9"/>
            <color indexed="81"/>
            <rFont val="Tahoma"/>
            <family val="2"/>
          </rPr>
          <t xml:space="preserve">
AMPD</t>
        </r>
      </text>
    </comment>
    <comment ref="H53" authorId="0">
      <text>
        <r>
          <rPr>
            <b/>
            <sz val="9"/>
            <color indexed="81"/>
            <rFont val="Tahoma"/>
            <family val="2"/>
          </rPr>
          <t>Jackson, Tricia:</t>
        </r>
        <r>
          <rPr>
            <sz val="9"/>
            <color indexed="81"/>
            <rFont val="Tahoma"/>
            <family val="2"/>
          </rPr>
          <t xml:space="preserve">
Generator data</t>
        </r>
      </text>
    </comment>
    <comment ref="L53" authorId="0">
      <text>
        <r>
          <rPr>
            <b/>
            <sz val="9"/>
            <color indexed="81"/>
            <rFont val="Tahoma"/>
            <family val="2"/>
          </rPr>
          <t>Jackson, Tricia:</t>
        </r>
        <r>
          <rPr>
            <sz val="9"/>
            <color indexed="81"/>
            <rFont val="Tahoma"/>
            <family val="2"/>
          </rPr>
          <t xml:space="preserve">
AMPD</t>
        </r>
      </text>
    </comment>
    <comment ref="H54" authorId="0">
      <text>
        <r>
          <rPr>
            <b/>
            <sz val="9"/>
            <color indexed="81"/>
            <rFont val="Tahoma"/>
            <family val="2"/>
          </rPr>
          <t>Jackson, Tricia:</t>
        </r>
        <r>
          <rPr>
            <sz val="9"/>
            <color indexed="81"/>
            <rFont val="Tahoma"/>
            <family val="2"/>
          </rPr>
          <t xml:space="preserve">
Generator Data</t>
        </r>
      </text>
    </comment>
    <comment ref="L54" authorId="0">
      <text>
        <r>
          <rPr>
            <b/>
            <sz val="9"/>
            <color indexed="81"/>
            <rFont val="Tahoma"/>
            <family val="2"/>
          </rPr>
          <t>Jackson, Tricia:</t>
        </r>
        <r>
          <rPr>
            <sz val="9"/>
            <color indexed="81"/>
            <rFont val="Tahoma"/>
            <family val="2"/>
          </rPr>
          <t xml:space="preserve">
boiler data aggregated to generator</t>
        </r>
      </text>
    </comment>
    <comment ref="H55" authorId="0">
      <text>
        <r>
          <rPr>
            <b/>
            <sz val="9"/>
            <color indexed="81"/>
            <rFont val="Tahoma"/>
            <family val="2"/>
          </rPr>
          <t>Jackson, Tricia:</t>
        </r>
        <r>
          <rPr>
            <sz val="9"/>
            <color indexed="81"/>
            <rFont val="Tahoma"/>
            <family val="2"/>
          </rPr>
          <t xml:space="preserve">
Generator Data</t>
        </r>
      </text>
    </comment>
    <comment ref="L55" authorId="0">
      <text>
        <r>
          <rPr>
            <b/>
            <sz val="9"/>
            <color indexed="81"/>
            <rFont val="Tahoma"/>
            <family val="2"/>
          </rPr>
          <t>Jackson, Tricia:</t>
        </r>
        <r>
          <rPr>
            <sz val="9"/>
            <color indexed="81"/>
            <rFont val="Tahoma"/>
            <family val="2"/>
          </rPr>
          <t xml:space="preserve">
plant-level distributed according to NP</t>
        </r>
      </text>
    </comment>
  </commentList>
</comments>
</file>

<file path=xl/comments6.xml><?xml version="1.0" encoding="utf-8"?>
<comments xmlns="http://schemas.openxmlformats.org/spreadsheetml/2006/main">
  <authors>
    <author>Jackson, Tricia</author>
  </authors>
  <commentList>
    <comment ref="H2" authorId="0">
      <text>
        <r>
          <rPr>
            <b/>
            <sz val="9"/>
            <color indexed="81"/>
            <rFont val="Tahoma"/>
            <family val="2"/>
          </rPr>
          <t>Jackson, Tricia:</t>
        </r>
        <r>
          <rPr>
            <sz val="9"/>
            <color indexed="81"/>
            <rFont val="Tahoma"/>
            <family val="2"/>
          </rPr>
          <t xml:space="preserve">
Generator Data</t>
        </r>
      </text>
    </comment>
    <comment ref="L2" authorId="0">
      <text>
        <r>
          <rPr>
            <b/>
            <sz val="9"/>
            <color indexed="81"/>
            <rFont val="Tahoma"/>
            <family val="2"/>
          </rPr>
          <t>Jackson, Tricia:</t>
        </r>
        <r>
          <rPr>
            <sz val="9"/>
            <color indexed="81"/>
            <rFont val="Tahoma"/>
            <family val="2"/>
          </rPr>
          <t xml:space="preserve">
AMPD</t>
        </r>
      </text>
    </comment>
    <comment ref="H3" authorId="0">
      <text>
        <r>
          <rPr>
            <b/>
            <sz val="9"/>
            <color indexed="81"/>
            <rFont val="Tahoma"/>
            <family val="2"/>
          </rPr>
          <t>Jackson, Tricia:</t>
        </r>
        <r>
          <rPr>
            <sz val="9"/>
            <color indexed="81"/>
            <rFont val="Tahoma"/>
            <family val="2"/>
          </rPr>
          <t xml:space="preserve">
Generator Data</t>
        </r>
      </text>
    </comment>
    <comment ref="L3" authorId="0">
      <text>
        <r>
          <rPr>
            <b/>
            <sz val="9"/>
            <color indexed="81"/>
            <rFont val="Tahoma"/>
            <family val="2"/>
          </rPr>
          <t>Jackson, Tricia:</t>
        </r>
        <r>
          <rPr>
            <sz val="9"/>
            <color indexed="81"/>
            <rFont val="Tahoma"/>
            <family val="2"/>
          </rPr>
          <t xml:space="preserve">
AMPD</t>
        </r>
      </text>
    </comment>
    <comment ref="H4" authorId="0">
      <text>
        <r>
          <rPr>
            <b/>
            <sz val="9"/>
            <color indexed="81"/>
            <rFont val="Tahoma"/>
            <family val="2"/>
          </rPr>
          <t>Jackson, Tricia:</t>
        </r>
        <r>
          <rPr>
            <sz val="9"/>
            <color indexed="81"/>
            <rFont val="Tahoma"/>
            <family val="2"/>
          </rPr>
          <t xml:space="preserve">
Generator Data</t>
        </r>
      </text>
    </comment>
    <comment ref="L4" authorId="0">
      <text>
        <r>
          <rPr>
            <b/>
            <sz val="9"/>
            <color indexed="81"/>
            <rFont val="Tahoma"/>
            <family val="2"/>
          </rPr>
          <t>Jackson, Tricia:</t>
        </r>
        <r>
          <rPr>
            <sz val="9"/>
            <color indexed="81"/>
            <rFont val="Tahoma"/>
            <family val="2"/>
          </rPr>
          <t xml:space="preserve">
AMPD</t>
        </r>
      </text>
    </comment>
    <comment ref="H5" authorId="0">
      <text>
        <r>
          <rPr>
            <b/>
            <sz val="9"/>
            <color indexed="81"/>
            <rFont val="Tahoma"/>
            <family val="2"/>
          </rPr>
          <t>Jackson, Tricia:</t>
        </r>
        <r>
          <rPr>
            <sz val="9"/>
            <color indexed="81"/>
            <rFont val="Tahoma"/>
            <family val="2"/>
          </rPr>
          <t xml:space="preserve">
Generator Data</t>
        </r>
      </text>
    </comment>
    <comment ref="L5" authorId="0">
      <text>
        <r>
          <rPr>
            <b/>
            <sz val="9"/>
            <color indexed="81"/>
            <rFont val="Tahoma"/>
            <family val="2"/>
          </rPr>
          <t>Jackson, Tricia:</t>
        </r>
        <r>
          <rPr>
            <sz val="9"/>
            <color indexed="81"/>
            <rFont val="Tahoma"/>
            <family val="2"/>
          </rPr>
          <t xml:space="preserve">
AMPD</t>
        </r>
      </text>
    </comment>
    <comment ref="H6" authorId="0">
      <text>
        <r>
          <rPr>
            <b/>
            <sz val="9"/>
            <color indexed="81"/>
            <rFont val="Tahoma"/>
            <family val="2"/>
          </rPr>
          <t>Jackson, Tricia:</t>
        </r>
        <r>
          <rPr>
            <sz val="9"/>
            <color indexed="81"/>
            <rFont val="Tahoma"/>
            <family val="2"/>
          </rPr>
          <t xml:space="preserve">
Generator Data</t>
        </r>
      </text>
    </comment>
    <comment ref="L6" authorId="0">
      <text>
        <r>
          <rPr>
            <b/>
            <sz val="9"/>
            <color indexed="81"/>
            <rFont val="Tahoma"/>
            <family val="2"/>
          </rPr>
          <t>Jackson, Tricia:</t>
        </r>
        <r>
          <rPr>
            <sz val="9"/>
            <color indexed="81"/>
            <rFont val="Tahoma"/>
            <family val="2"/>
          </rPr>
          <t xml:space="preserve">
AMPD</t>
        </r>
      </text>
    </comment>
    <comment ref="H7" authorId="0">
      <text>
        <r>
          <rPr>
            <b/>
            <sz val="9"/>
            <color indexed="81"/>
            <rFont val="Tahoma"/>
            <family val="2"/>
          </rPr>
          <t>Jackson, Tricia:</t>
        </r>
        <r>
          <rPr>
            <sz val="9"/>
            <color indexed="81"/>
            <rFont val="Tahoma"/>
            <family val="2"/>
          </rPr>
          <t xml:space="preserve">
Generator Data</t>
        </r>
      </text>
    </comment>
    <comment ref="L7" authorId="0">
      <text>
        <r>
          <rPr>
            <b/>
            <sz val="9"/>
            <color indexed="81"/>
            <rFont val="Tahoma"/>
            <family val="2"/>
          </rPr>
          <t>Jackson, Tricia:</t>
        </r>
        <r>
          <rPr>
            <sz val="9"/>
            <color indexed="81"/>
            <rFont val="Tahoma"/>
            <family val="2"/>
          </rPr>
          <t xml:space="preserve">
AMPD</t>
        </r>
      </text>
    </comment>
    <comment ref="H8" authorId="0">
      <text>
        <r>
          <rPr>
            <b/>
            <sz val="9"/>
            <color indexed="81"/>
            <rFont val="Tahoma"/>
            <family val="2"/>
          </rPr>
          <t>Jackson, Tricia:</t>
        </r>
        <r>
          <rPr>
            <sz val="9"/>
            <color indexed="81"/>
            <rFont val="Tahoma"/>
            <family val="2"/>
          </rPr>
          <t xml:space="preserve">
Generator Data</t>
        </r>
      </text>
    </comment>
    <comment ref="L8" authorId="0">
      <text>
        <r>
          <rPr>
            <b/>
            <sz val="9"/>
            <color indexed="81"/>
            <rFont val="Tahoma"/>
            <family val="2"/>
          </rPr>
          <t>Jackson, Tricia:</t>
        </r>
        <r>
          <rPr>
            <sz val="9"/>
            <color indexed="81"/>
            <rFont val="Tahoma"/>
            <family val="2"/>
          </rPr>
          <t xml:space="preserve">
AMPD</t>
        </r>
      </text>
    </comment>
    <comment ref="H9" authorId="0">
      <text>
        <r>
          <rPr>
            <b/>
            <sz val="9"/>
            <color indexed="81"/>
            <rFont val="Tahoma"/>
            <family val="2"/>
          </rPr>
          <t>Jackson, Tricia:</t>
        </r>
        <r>
          <rPr>
            <sz val="9"/>
            <color indexed="81"/>
            <rFont val="Tahoma"/>
            <family val="2"/>
          </rPr>
          <t xml:space="preserve">
CA+CT aggregated then distributed according NP capacity </t>
        </r>
      </text>
    </comment>
    <comment ref="L9"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H10" authorId="0">
      <text>
        <r>
          <rPr>
            <b/>
            <sz val="9"/>
            <color indexed="81"/>
            <rFont val="Tahoma"/>
            <family val="2"/>
          </rPr>
          <t>Jackson, Tricia:</t>
        </r>
        <r>
          <rPr>
            <sz val="9"/>
            <color indexed="81"/>
            <rFont val="Tahoma"/>
            <family val="2"/>
          </rPr>
          <t xml:space="preserve">
CA+CT aggregated then distributed according NP capacity </t>
        </r>
      </text>
    </comment>
    <comment ref="L10"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H11" authorId="0">
      <text>
        <r>
          <rPr>
            <b/>
            <sz val="9"/>
            <color indexed="81"/>
            <rFont val="Tahoma"/>
            <family val="2"/>
          </rPr>
          <t>Jackson, Tricia:</t>
        </r>
        <r>
          <rPr>
            <sz val="9"/>
            <color indexed="81"/>
            <rFont val="Tahoma"/>
            <family val="2"/>
          </rPr>
          <t xml:space="preserve">
CA+CT aggregated then distributed according NP capacity </t>
        </r>
      </text>
    </comment>
    <comment ref="L11"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H12" authorId="0">
      <text>
        <r>
          <rPr>
            <b/>
            <sz val="9"/>
            <color indexed="81"/>
            <rFont val="Tahoma"/>
            <family val="2"/>
          </rPr>
          <t>Jackson, Tricia:</t>
        </r>
        <r>
          <rPr>
            <sz val="9"/>
            <color indexed="81"/>
            <rFont val="Tahoma"/>
            <family val="2"/>
          </rPr>
          <t xml:space="preserve">
CA+CT aggregated then distributed according NP capacity </t>
        </r>
      </text>
    </comment>
    <comment ref="L12" authorId="0">
      <text>
        <r>
          <rPr>
            <b/>
            <sz val="9"/>
            <color indexed="81"/>
            <rFont val="Tahoma"/>
            <family val="2"/>
          </rPr>
          <t>Jackson, Tricia:</t>
        </r>
        <r>
          <rPr>
            <sz val="9"/>
            <color indexed="81"/>
            <rFont val="Tahoma"/>
            <family val="2"/>
          </rPr>
          <t xml:space="preserve">
AMPD emissions for G1-G7 summed then distributed across all units</t>
        </r>
      </text>
    </comment>
    <comment ref="H13" authorId="0">
      <text>
        <r>
          <rPr>
            <b/>
            <sz val="9"/>
            <color indexed="81"/>
            <rFont val="Tahoma"/>
            <family val="2"/>
          </rPr>
          <t>Jackson, Tricia:</t>
        </r>
        <r>
          <rPr>
            <sz val="9"/>
            <color indexed="81"/>
            <rFont val="Tahoma"/>
            <family val="2"/>
          </rPr>
          <t xml:space="preserve">
CA+CT aggregated then distributed according NP capacity </t>
        </r>
      </text>
    </comment>
    <comment ref="L13" authorId="0">
      <text>
        <r>
          <rPr>
            <b/>
            <sz val="9"/>
            <color indexed="81"/>
            <rFont val="Tahoma"/>
            <family val="2"/>
          </rPr>
          <t>Jackson, Tricia:</t>
        </r>
        <r>
          <rPr>
            <sz val="9"/>
            <color indexed="81"/>
            <rFont val="Tahoma"/>
            <family val="2"/>
          </rPr>
          <t xml:space="preserve">
AMPD emissions for G1-G7 summed then distributed across all units</t>
        </r>
      </text>
    </comment>
    <comment ref="H14" authorId="0">
      <text>
        <r>
          <rPr>
            <b/>
            <sz val="9"/>
            <color indexed="81"/>
            <rFont val="Tahoma"/>
            <family val="2"/>
          </rPr>
          <t>Jackson, Tricia:</t>
        </r>
        <r>
          <rPr>
            <sz val="9"/>
            <color indexed="81"/>
            <rFont val="Tahoma"/>
            <family val="2"/>
          </rPr>
          <t xml:space="preserve">
CA+CT aggregated then distributed according NP capacity </t>
        </r>
      </text>
    </comment>
    <comment ref="L14" authorId="0">
      <text>
        <r>
          <rPr>
            <b/>
            <sz val="9"/>
            <color indexed="81"/>
            <rFont val="Tahoma"/>
            <family val="2"/>
          </rPr>
          <t>Jackson, Tricia:</t>
        </r>
        <r>
          <rPr>
            <sz val="9"/>
            <color indexed="81"/>
            <rFont val="Tahoma"/>
            <family val="2"/>
          </rPr>
          <t xml:space="preserve">
AMPD emissions for G1-G7 summed then distributed across all units</t>
        </r>
      </text>
    </comment>
    <comment ref="H15" authorId="0">
      <text>
        <r>
          <rPr>
            <b/>
            <sz val="9"/>
            <color indexed="81"/>
            <rFont val="Tahoma"/>
            <family val="2"/>
          </rPr>
          <t>Jackson, Tricia:</t>
        </r>
        <r>
          <rPr>
            <sz val="9"/>
            <color indexed="81"/>
            <rFont val="Tahoma"/>
            <family val="2"/>
          </rPr>
          <t xml:space="preserve">
CA+CT aggregated then distributed according NP capacity </t>
        </r>
      </text>
    </comment>
    <comment ref="L15" authorId="0">
      <text>
        <r>
          <rPr>
            <b/>
            <sz val="9"/>
            <color indexed="81"/>
            <rFont val="Tahoma"/>
            <family val="2"/>
          </rPr>
          <t>Jackson, Tricia:</t>
        </r>
        <r>
          <rPr>
            <sz val="9"/>
            <color indexed="81"/>
            <rFont val="Tahoma"/>
            <family val="2"/>
          </rPr>
          <t xml:space="preserve">
AMPD emissions for G1-G7 summed then distributed across all units</t>
        </r>
      </text>
    </comment>
    <comment ref="H16" authorId="0">
      <text>
        <r>
          <rPr>
            <b/>
            <sz val="9"/>
            <color indexed="81"/>
            <rFont val="Tahoma"/>
            <family val="2"/>
          </rPr>
          <t>Jackson, Tricia:</t>
        </r>
        <r>
          <rPr>
            <sz val="9"/>
            <color indexed="81"/>
            <rFont val="Tahoma"/>
            <family val="2"/>
          </rPr>
          <t xml:space="preserve">
CA+CT aggregated then distributed according NP capacity </t>
        </r>
      </text>
    </comment>
    <comment ref="L16" authorId="0">
      <text>
        <r>
          <rPr>
            <b/>
            <sz val="9"/>
            <color indexed="81"/>
            <rFont val="Tahoma"/>
            <family val="2"/>
          </rPr>
          <t>Jackson, Tricia:</t>
        </r>
        <r>
          <rPr>
            <sz val="9"/>
            <color indexed="81"/>
            <rFont val="Tahoma"/>
            <family val="2"/>
          </rPr>
          <t xml:space="preserve">
AMPD emissions for G1-G7 summed then distributed across all units</t>
        </r>
      </text>
    </comment>
    <comment ref="H17" authorId="0">
      <text>
        <r>
          <rPr>
            <b/>
            <sz val="9"/>
            <color indexed="81"/>
            <rFont val="Tahoma"/>
            <family val="2"/>
          </rPr>
          <t>Jackson, Tricia:</t>
        </r>
        <r>
          <rPr>
            <sz val="9"/>
            <color indexed="81"/>
            <rFont val="Tahoma"/>
            <family val="2"/>
          </rPr>
          <t xml:space="preserve">
CA+CT aggregated then distributed according NP capacity </t>
        </r>
      </text>
    </comment>
    <comment ref="L17" authorId="0">
      <text>
        <r>
          <rPr>
            <b/>
            <sz val="9"/>
            <color indexed="81"/>
            <rFont val="Tahoma"/>
            <family val="2"/>
          </rPr>
          <t>Jackson, Tricia:</t>
        </r>
        <r>
          <rPr>
            <sz val="9"/>
            <color indexed="81"/>
            <rFont val="Tahoma"/>
            <family val="2"/>
          </rPr>
          <t xml:space="preserve">
AMPD emissions for G1-G7 summed then distributed across all units</t>
        </r>
      </text>
    </comment>
    <comment ref="H18" authorId="0">
      <text>
        <r>
          <rPr>
            <b/>
            <sz val="9"/>
            <color indexed="81"/>
            <rFont val="Tahoma"/>
            <family val="2"/>
          </rPr>
          <t>Jackson, Tricia:</t>
        </r>
        <r>
          <rPr>
            <sz val="9"/>
            <color indexed="81"/>
            <rFont val="Tahoma"/>
            <family val="2"/>
          </rPr>
          <t xml:space="preserve">
CA+CT aggregated then distributed according NP capacity </t>
        </r>
      </text>
    </comment>
    <comment ref="L18" authorId="0">
      <text>
        <r>
          <rPr>
            <b/>
            <sz val="9"/>
            <color indexed="81"/>
            <rFont val="Tahoma"/>
            <family val="2"/>
          </rPr>
          <t>Jackson, Tricia:</t>
        </r>
        <r>
          <rPr>
            <sz val="9"/>
            <color indexed="81"/>
            <rFont val="Tahoma"/>
            <family val="2"/>
          </rPr>
          <t xml:space="preserve">
AMPD emissions for G1-G7 summed then distributed across all units</t>
        </r>
      </text>
    </comment>
    <comment ref="H19" authorId="0">
      <text>
        <r>
          <rPr>
            <b/>
            <sz val="9"/>
            <color indexed="81"/>
            <rFont val="Tahoma"/>
            <family val="2"/>
          </rPr>
          <t>Jackson, Tricia:</t>
        </r>
        <r>
          <rPr>
            <sz val="9"/>
            <color indexed="81"/>
            <rFont val="Tahoma"/>
            <family val="2"/>
          </rPr>
          <t xml:space="preserve">
CA+CT aggregated then distributed according NP capacity </t>
        </r>
      </text>
    </comment>
    <comment ref="L19" authorId="0">
      <text>
        <r>
          <rPr>
            <b/>
            <sz val="9"/>
            <color indexed="81"/>
            <rFont val="Tahoma"/>
            <family val="2"/>
          </rPr>
          <t>Jackson, Tricia:</t>
        </r>
        <r>
          <rPr>
            <sz val="9"/>
            <color indexed="81"/>
            <rFont val="Tahoma"/>
            <family val="2"/>
          </rPr>
          <t xml:space="preserve">
AMPD emissions for G1-G7 summed then distributed across all units</t>
        </r>
      </text>
    </comment>
    <comment ref="H20" authorId="0">
      <text>
        <r>
          <rPr>
            <b/>
            <sz val="9"/>
            <color indexed="81"/>
            <rFont val="Tahoma"/>
            <family val="2"/>
          </rPr>
          <t>Jackson, Tricia:</t>
        </r>
        <r>
          <rPr>
            <sz val="9"/>
            <color indexed="81"/>
            <rFont val="Tahoma"/>
            <family val="2"/>
          </rPr>
          <t xml:space="preserve">
CA+CT aggregated then distributed according NP capacity </t>
        </r>
      </text>
    </comment>
    <comment ref="L20" authorId="0">
      <text>
        <r>
          <rPr>
            <b/>
            <sz val="9"/>
            <color indexed="81"/>
            <rFont val="Tahoma"/>
            <family val="2"/>
          </rPr>
          <t>Jackson, Tricia:</t>
        </r>
        <r>
          <rPr>
            <sz val="9"/>
            <color indexed="81"/>
            <rFont val="Tahoma"/>
            <family val="2"/>
          </rPr>
          <t xml:space="preserve">
AMPD emissions for G1-G7 summed then distributed across all units</t>
        </r>
      </text>
    </comment>
    <comment ref="H21" authorId="0">
      <text>
        <r>
          <rPr>
            <b/>
            <sz val="9"/>
            <color indexed="81"/>
            <rFont val="Tahoma"/>
            <family val="2"/>
          </rPr>
          <t>Jackson, Tricia:</t>
        </r>
        <r>
          <rPr>
            <sz val="9"/>
            <color indexed="81"/>
            <rFont val="Tahoma"/>
            <family val="2"/>
          </rPr>
          <t xml:space="preserve">
CA+CT aggregated then distributed according NP capacity </t>
        </r>
      </text>
    </comment>
    <comment ref="L21"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H22" authorId="0">
      <text>
        <r>
          <rPr>
            <b/>
            <sz val="9"/>
            <color indexed="81"/>
            <rFont val="Tahoma"/>
            <family val="2"/>
          </rPr>
          <t>Jackson, Tricia:</t>
        </r>
        <r>
          <rPr>
            <sz val="9"/>
            <color indexed="81"/>
            <rFont val="Tahoma"/>
            <family val="2"/>
          </rPr>
          <t xml:space="preserve">
CA+CT aggregated then distributed according NP capacity </t>
        </r>
      </text>
    </comment>
    <comment ref="L22"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H23" authorId="0">
      <text>
        <r>
          <rPr>
            <b/>
            <sz val="9"/>
            <color indexed="81"/>
            <rFont val="Tahoma"/>
            <family val="2"/>
          </rPr>
          <t>Jackson, Tricia:</t>
        </r>
        <r>
          <rPr>
            <sz val="9"/>
            <color indexed="81"/>
            <rFont val="Tahoma"/>
            <family val="2"/>
          </rPr>
          <t xml:space="preserve">
CA+CT aggregated then distributed according NP capacity </t>
        </r>
      </text>
    </comment>
    <comment ref="L23"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H24" authorId="0">
      <text>
        <r>
          <rPr>
            <b/>
            <sz val="9"/>
            <color indexed="81"/>
            <rFont val="Tahoma"/>
            <family val="2"/>
          </rPr>
          <t>Jackson, Tricia:</t>
        </r>
        <r>
          <rPr>
            <sz val="9"/>
            <color indexed="81"/>
            <rFont val="Tahoma"/>
            <family val="2"/>
          </rPr>
          <t xml:space="preserve">
CA+CT aggregated then distributed according NP capacity </t>
        </r>
      </text>
    </comment>
    <comment ref="L24"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H25" authorId="0">
      <text>
        <r>
          <rPr>
            <b/>
            <sz val="9"/>
            <color indexed="81"/>
            <rFont val="Tahoma"/>
            <family val="2"/>
          </rPr>
          <t>Jackson, Tricia:</t>
        </r>
        <r>
          <rPr>
            <sz val="9"/>
            <color indexed="81"/>
            <rFont val="Tahoma"/>
            <family val="2"/>
          </rPr>
          <t xml:space="preserve">
CA+CT aggregated then distributed according NP capacity </t>
        </r>
      </text>
    </comment>
    <comment ref="L25"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H26" authorId="0">
      <text>
        <r>
          <rPr>
            <b/>
            <sz val="9"/>
            <color indexed="81"/>
            <rFont val="Tahoma"/>
            <family val="2"/>
          </rPr>
          <t>Jackson, Tricia:</t>
        </r>
        <r>
          <rPr>
            <sz val="9"/>
            <color indexed="81"/>
            <rFont val="Tahoma"/>
            <family val="2"/>
          </rPr>
          <t xml:space="preserve">
CA+CT aggregated then distributed according NP capacity </t>
        </r>
      </text>
    </comment>
    <comment ref="L26"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H27" authorId="0">
      <text>
        <r>
          <rPr>
            <b/>
            <sz val="9"/>
            <color indexed="81"/>
            <rFont val="Tahoma"/>
            <family val="2"/>
          </rPr>
          <t>Jackson, Tricia:</t>
        </r>
        <r>
          <rPr>
            <sz val="9"/>
            <color indexed="81"/>
            <rFont val="Tahoma"/>
            <family val="2"/>
          </rPr>
          <t xml:space="preserve">
CA+CT aggregated then distributed according NP capacity </t>
        </r>
      </text>
    </comment>
    <comment ref="I27"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L27" authorId="0">
      <text>
        <r>
          <rPr>
            <b/>
            <sz val="9"/>
            <color indexed="81"/>
            <rFont val="Tahoma"/>
            <family val="2"/>
          </rPr>
          <t>Jackson, Tricia:</t>
        </r>
        <r>
          <rPr>
            <sz val="9"/>
            <color indexed="81"/>
            <rFont val="Tahoma"/>
            <family val="2"/>
          </rPr>
          <t xml:space="preserve">
AMPD value of CT01 distributed across all units</t>
        </r>
      </text>
    </comment>
    <comment ref="H28" authorId="0">
      <text>
        <r>
          <rPr>
            <b/>
            <sz val="9"/>
            <color indexed="81"/>
            <rFont val="Tahoma"/>
            <family val="2"/>
          </rPr>
          <t>Jackson, Tricia:</t>
        </r>
        <r>
          <rPr>
            <sz val="9"/>
            <color indexed="81"/>
            <rFont val="Tahoma"/>
            <family val="2"/>
          </rPr>
          <t xml:space="preserve">
CA+CT aggregated then distributed according NP capacity </t>
        </r>
      </text>
    </comment>
    <comment ref="I28"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L28" authorId="0">
      <text>
        <r>
          <rPr>
            <b/>
            <sz val="9"/>
            <color indexed="81"/>
            <rFont val="Tahoma"/>
            <family val="2"/>
          </rPr>
          <t>Jackson, Tricia:</t>
        </r>
        <r>
          <rPr>
            <sz val="9"/>
            <color indexed="81"/>
            <rFont val="Tahoma"/>
            <family val="2"/>
          </rPr>
          <t xml:space="preserve">
AMPD value of CT01 distributed across all units</t>
        </r>
      </text>
    </comment>
    <comment ref="H29" authorId="0">
      <text>
        <r>
          <rPr>
            <b/>
            <sz val="9"/>
            <color indexed="81"/>
            <rFont val="Tahoma"/>
            <family val="2"/>
          </rPr>
          <t>Jackson, Tricia:</t>
        </r>
        <r>
          <rPr>
            <sz val="9"/>
            <color indexed="81"/>
            <rFont val="Tahoma"/>
            <family val="2"/>
          </rPr>
          <t xml:space="preserve">
CA+CT aggregated then distributed according NP capacity </t>
        </r>
      </text>
    </comment>
    <comment ref="L29" authorId="0">
      <text>
        <r>
          <rPr>
            <b/>
            <sz val="9"/>
            <color indexed="81"/>
            <rFont val="Tahoma"/>
            <family val="2"/>
          </rPr>
          <t>Jackson, Tricia:</t>
        </r>
        <r>
          <rPr>
            <sz val="9"/>
            <color indexed="81"/>
            <rFont val="Tahoma"/>
            <family val="2"/>
          </rPr>
          <t xml:space="preserve">
AMPD value for unit 2 distributed across all units</t>
        </r>
      </text>
    </comment>
    <comment ref="H30" authorId="0">
      <text>
        <r>
          <rPr>
            <b/>
            <sz val="9"/>
            <color indexed="81"/>
            <rFont val="Tahoma"/>
            <family val="2"/>
          </rPr>
          <t>Jackson, Tricia:</t>
        </r>
        <r>
          <rPr>
            <sz val="9"/>
            <color indexed="81"/>
            <rFont val="Tahoma"/>
            <family val="2"/>
          </rPr>
          <t xml:space="preserve">
CA+CT aggregated then distributed according NP capacity </t>
        </r>
      </text>
    </comment>
    <comment ref="L30" authorId="0">
      <text>
        <r>
          <rPr>
            <b/>
            <sz val="9"/>
            <color indexed="81"/>
            <rFont val="Tahoma"/>
            <family val="2"/>
          </rPr>
          <t>Jackson, Tricia:</t>
        </r>
        <r>
          <rPr>
            <sz val="9"/>
            <color indexed="81"/>
            <rFont val="Tahoma"/>
            <family val="2"/>
          </rPr>
          <t xml:space="preserve">
AMPD value for unit 2 distributed across all units</t>
        </r>
      </text>
    </comment>
    <comment ref="H31" authorId="0">
      <text>
        <r>
          <rPr>
            <b/>
            <sz val="9"/>
            <color indexed="81"/>
            <rFont val="Tahoma"/>
            <family val="2"/>
          </rPr>
          <t>Jackson, Tricia:</t>
        </r>
        <r>
          <rPr>
            <sz val="9"/>
            <color indexed="81"/>
            <rFont val="Tahoma"/>
            <family val="2"/>
          </rPr>
          <t xml:space="preserve">
CA+CT aggregated then distributed according NP capacity </t>
        </r>
      </text>
    </comment>
    <comment ref="L3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2" authorId="0">
      <text>
        <r>
          <rPr>
            <b/>
            <sz val="9"/>
            <color indexed="81"/>
            <rFont val="Tahoma"/>
            <family val="2"/>
          </rPr>
          <t>Jackson, Tricia:</t>
        </r>
        <r>
          <rPr>
            <sz val="9"/>
            <color indexed="81"/>
            <rFont val="Tahoma"/>
            <family val="2"/>
          </rPr>
          <t xml:space="preserve">
CA+CT aggregated then distributed according NP capacity </t>
        </r>
      </text>
    </comment>
    <comment ref="L32"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3" authorId="0">
      <text>
        <r>
          <rPr>
            <b/>
            <sz val="9"/>
            <color indexed="81"/>
            <rFont val="Tahoma"/>
            <family val="2"/>
          </rPr>
          <t>Jackson, Tricia:</t>
        </r>
        <r>
          <rPr>
            <sz val="9"/>
            <color indexed="81"/>
            <rFont val="Tahoma"/>
            <family val="2"/>
          </rPr>
          <t xml:space="preserve">
CA+CT aggregated then distributed according NP capacity </t>
        </r>
      </text>
    </comment>
    <comment ref="L33"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4" authorId="0">
      <text>
        <r>
          <rPr>
            <b/>
            <sz val="9"/>
            <color indexed="81"/>
            <rFont val="Tahoma"/>
            <family val="2"/>
          </rPr>
          <t>Jackson, Tricia:</t>
        </r>
        <r>
          <rPr>
            <sz val="9"/>
            <color indexed="81"/>
            <rFont val="Tahoma"/>
            <family val="2"/>
          </rPr>
          <t xml:space="preserve">
CA+CT aggregated then distributed according NP capacity </t>
        </r>
      </text>
    </comment>
    <comment ref="L34"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5" authorId="0">
      <text>
        <r>
          <rPr>
            <b/>
            <sz val="9"/>
            <color indexed="81"/>
            <rFont val="Tahoma"/>
            <family val="2"/>
          </rPr>
          <t>Jackson, Tricia:</t>
        </r>
        <r>
          <rPr>
            <sz val="9"/>
            <color indexed="81"/>
            <rFont val="Tahoma"/>
            <family val="2"/>
          </rPr>
          <t xml:space="preserve">
CA+CT aggregated then distributed according NP capacity </t>
        </r>
      </text>
    </comment>
    <comment ref="L35"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6" authorId="0">
      <text>
        <r>
          <rPr>
            <b/>
            <sz val="9"/>
            <color indexed="81"/>
            <rFont val="Tahoma"/>
            <family val="2"/>
          </rPr>
          <t>Jackson, Tricia:</t>
        </r>
        <r>
          <rPr>
            <sz val="9"/>
            <color indexed="81"/>
            <rFont val="Tahoma"/>
            <family val="2"/>
          </rPr>
          <t xml:space="preserve">
CA+CT aggregated then distributed according NP capacity </t>
        </r>
      </text>
    </comment>
    <comment ref="L36"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7" authorId="0">
      <text>
        <r>
          <rPr>
            <b/>
            <sz val="9"/>
            <color indexed="81"/>
            <rFont val="Tahoma"/>
            <family val="2"/>
          </rPr>
          <t>Jackson, Tricia:</t>
        </r>
        <r>
          <rPr>
            <sz val="9"/>
            <color indexed="81"/>
            <rFont val="Tahoma"/>
            <family val="2"/>
          </rPr>
          <t xml:space="preserve">
CA+CT aggregated then distributed according NP capacity </t>
        </r>
      </text>
    </comment>
    <comment ref="L37"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8" authorId="0">
      <text>
        <r>
          <rPr>
            <b/>
            <sz val="9"/>
            <color indexed="81"/>
            <rFont val="Tahoma"/>
            <family val="2"/>
          </rPr>
          <t>Jackson, Tricia:</t>
        </r>
        <r>
          <rPr>
            <sz val="9"/>
            <color indexed="81"/>
            <rFont val="Tahoma"/>
            <family val="2"/>
          </rPr>
          <t xml:space="preserve">
CA+CT aggregated then distributed according NP capacity </t>
        </r>
      </text>
    </comment>
    <comment ref="L38"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9" authorId="0">
      <text>
        <r>
          <rPr>
            <b/>
            <sz val="9"/>
            <color indexed="81"/>
            <rFont val="Tahoma"/>
            <family val="2"/>
          </rPr>
          <t>Jackson, Tricia:</t>
        </r>
        <r>
          <rPr>
            <sz val="9"/>
            <color indexed="81"/>
            <rFont val="Tahoma"/>
            <family val="2"/>
          </rPr>
          <t xml:space="preserve">
CA+CT aggregated then distributed according NP capacity </t>
        </r>
      </text>
    </comment>
    <comment ref="L39"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40" authorId="0">
      <text>
        <r>
          <rPr>
            <b/>
            <sz val="9"/>
            <color indexed="81"/>
            <rFont val="Tahoma"/>
            <family val="2"/>
          </rPr>
          <t>Jackson, Tricia:</t>
        </r>
        <r>
          <rPr>
            <sz val="9"/>
            <color indexed="81"/>
            <rFont val="Tahoma"/>
            <family val="2"/>
          </rPr>
          <t xml:space="preserve">
CA+CT aggregated then distributed according NP capacity </t>
        </r>
      </text>
    </comment>
    <comment ref="L40"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41" authorId="0">
      <text>
        <r>
          <rPr>
            <b/>
            <sz val="9"/>
            <color indexed="81"/>
            <rFont val="Tahoma"/>
            <family val="2"/>
          </rPr>
          <t>Jackson, Tricia:</t>
        </r>
        <r>
          <rPr>
            <sz val="9"/>
            <color indexed="81"/>
            <rFont val="Tahoma"/>
            <family val="2"/>
          </rPr>
          <t xml:space="preserve">
CA+CT aggregated then distributed according NP capacity </t>
        </r>
      </text>
    </comment>
    <comment ref="L4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42" authorId="0">
      <text>
        <r>
          <rPr>
            <b/>
            <sz val="9"/>
            <color indexed="81"/>
            <rFont val="Tahoma"/>
            <family val="2"/>
          </rPr>
          <t>Jackson, Tricia:</t>
        </r>
        <r>
          <rPr>
            <sz val="9"/>
            <color indexed="81"/>
            <rFont val="Tahoma"/>
            <family val="2"/>
          </rPr>
          <t xml:space="preserve">
CA+CT aggregated then distributed according NP capacity </t>
        </r>
      </text>
    </comment>
    <comment ref="L42"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43" authorId="0">
      <text>
        <r>
          <rPr>
            <b/>
            <sz val="9"/>
            <color indexed="81"/>
            <rFont val="Tahoma"/>
            <family val="2"/>
          </rPr>
          <t>Jackson, Tricia:</t>
        </r>
        <r>
          <rPr>
            <sz val="9"/>
            <color indexed="81"/>
            <rFont val="Tahoma"/>
            <family val="2"/>
          </rPr>
          <t xml:space="preserve">
Generator Data</t>
        </r>
      </text>
    </comment>
    <comment ref="L43" authorId="0">
      <text>
        <r>
          <rPr>
            <b/>
            <sz val="9"/>
            <color indexed="81"/>
            <rFont val="Tahoma"/>
            <family val="2"/>
          </rPr>
          <t>Jackson, Tricia:</t>
        </r>
        <r>
          <rPr>
            <sz val="9"/>
            <color indexed="81"/>
            <rFont val="Tahoma"/>
            <family val="2"/>
          </rPr>
          <t xml:space="preserve">
AMPD</t>
        </r>
      </text>
    </comment>
    <comment ref="H44" authorId="0">
      <text>
        <r>
          <rPr>
            <b/>
            <sz val="9"/>
            <color indexed="81"/>
            <rFont val="Tahoma"/>
            <family val="2"/>
          </rPr>
          <t>Jackson, Tricia:</t>
        </r>
        <r>
          <rPr>
            <sz val="9"/>
            <color indexed="81"/>
            <rFont val="Tahoma"/>
            <family val="2"/>
          </rPr>
          <t xml:space="preserve">
Generator Data</t>
        </r>
      </text>
    </comment>
    <comment ref="L44" authorId="0">
      <text>
        <r>
          <rPr>
            <b/>
            <sz val="9"/>
            <color indexed="81"/>
            <rFont val="Tahoma"/>
            <family val="2"/>
          </rPr>
          <t>Jackson, Tricia:</t>
        </r>
        <r>
          <rPr>
            <sz val="9"/>
            <color indexed="81"/>
            <rFont val="Tahoma"/>
            <family val="2"/>
          </rPr>
          <t xml:space="preserve">
Boiler Level Aggregated to Generator</t>
        </r>
      </text>
    </comment>
    <comment ref="H45" authorId="0">
      <text>
        <r>
          <rPr>
            <b/>
            <sz val="9"/>
            <color indexed="81"/>
            <rFont val="Tahoma"/>
            <family val="2"/>
          </rPr>
          <t>Jackson, Tricia:</t>
        </r>
        <r>
          <rPr>
            <sz val="9"/>
            <color indexed="81"/>
            <rFont val="Tahoma"/>
            <family val="2"/>
          </rPr>
          <t xml:space="preserve">
Generator Data</t>
        </r>
      </text>
    </comment>
    <comment ref="L45" authorId="0">
      <text>
        <r>
          <rPr>
            <b/>
            <sz val="9"/>
            <color indexed="81"/>
            <rFont val="Tahoma"/>
            <family val="2"/>
          </rPr>
          <t>Jackson, Tricia:</t>
        </r>
        <r>
          <rPr>
            <sz val="9"/>
            <color indexed="81"/>
            <rFont val="Tahoma"/>
            <family val="2"/>
          </rPr>
          <t xml:space="preserve">
Boiler Level Aggregated to Generator</t>
        </r>
      </text>
    </comment>
    <comment ref="H46" authorId="0">
      <text>
        <r>
          <rPr>
            <b/>
            <sz val="9"/>
            <color indexed="81"/>
            <rFont val="Tahoma"/>
            <family val="2"/>
          </rPr>
          <t>Jackson, Tricia:</t>
        </r>
        <r>
          <rPr>
            <sz val="9"/>
            <color indexed="81"/>
            <rFont val="Tahoma"/>
            <family val="2"/>
          </rPr>
          <t xml:space="preserve">
Had no generation in 2012, no data in EIA 923 for 2013</t>
        </r>
      </text>
    </comment>
    <comment ref="L46" authorId="0">
      <text>
        <r>
          <rPr>
            <b/>
            <sz val="9"/>
            <color indexed="81"/>
            <rFont val="Tahoma"/>
            <family val="2"/>
          </rPr>
          <t>Jackson, Tricia:</t>
        </r>
        <r>
          <rPr>
            <sz val="9"/>
            <color indexed="81"/>
            <rFont val="Tahoma"/>
            <family val="2"/>
          </rPr>
          <t xml:space="preserve">
Had no emissions in 2012, no EIA 923 data for 2013</t>
        </r>
      </text>
    </comment>
    <comment ref="H47" authorId="0">
      <text>
        <r>
          <rPr>
            <b/>
            <sz val="9"/>
            <color indexed="81"/>
            <rFont val="Tahoma"/>
            <family val="2"/>
          </rPr>
          <t>Jackson, Tricia:</t>
        </r>
        <r>
          <rPr>
            <sz val="9"/>
            <color indexed="81"/>
            <rFont val="Tahoma"/>
            <family val="2"/>
          </rPr>
          <t xml:space="preserve">
Had no generation in 2012, no data in EIA 923 for 2013</t>
        </r>
      </text>
    </comment>
    <comment ref="L47" authorId="0">
      <text>
        <r>
          <rPr>
            <b/>
            <sz val="9"/>
            <color indexed="81"/>
            <rFont val="Tahoma"/>
            <family val="2"/>
          </rPr>
          <t>Jackson, Tricia:</t>
        </r>
        <r>
          <rPr>
            <sz val="9"/>
            <color indexed="81"/>
            <rFont val="Tahoma"/>
            <family val="2"/>
          </rPr>
          <t xml:space="preserve">
Had not emissions in 2012, no EIA 923 data for 2013</t>
        </r>
      </text>
    </comment>
    <comment ref="H48" authorId="0">
      <text>
        <r>
          <rPr>
            <b/>
            <sz val="9"/>
            <color indexed="81"/>
            <rFont val="Tahoma"/>
            <family val="2"/>
          </rPr>
          <t>Jackson, Tricia:</t>
        </r>
        <r>
          <rPr>
            <sz val="9"/>
            <color indexed="81"/>
            <rFont val="Tahoma"/>
            <family val="2"/>
          </rPr>
          <t xml:space="preserve">
Generator Data</t>
        </r>
      </text>
    </comment>
    <comment ref="L48" authorId="0">
      <text>
        <r>
          <rPr>
            <b/>
            <sz val="9"/>
            <color indexed="81"/>
            <rFont val="Tahoma"/>
            <family val="2"/>
          </rPr>
          <t>Jackson, Tricia:</t>
        </r>
        <r>
          <rPr>
            <sz val="9"/>
            <color indexed="81"/>
            <rFont val="Tahoma"/>
            <family val="2"/>
          </rPr>
          <t xml:space="preserve">
Boiler level aggregated to generator</t>
        </r>
      </text>
    </comment>
    <comment ref="H49" authorId="0">
      <text>
        <r>
          <rPr>
            <b/>
            <sz val="9"/>
            <color indexed="81"/>
            <rFont val="Tahoma"/>
            <family val="2"/>
          </rPr>
          <t>Jackson, Tricia:</t>
        </r>
        <r>
          <rPr>
            <sz val="9"/>
            <color indexed="81"/>
            <rFont val="Tahoma"/>
            <family val="2"/>
          </rPr>
          <t xml:space="preserve">
Generator Data</t>
        </r>
      </text>
    </comment>
    <comment ref="L49" authorId="0">
      <text>
        <r>
          <rPr>
            <b/>
            <sz val="9"/>
            <color indexed="81"/>
            <rFont val="Tahoma"/>
            <family val="2"/>
          </rPr>
          <t>Jackson, Tricia:</t>
        </r>
        <r>
          <rPr>
            <sz val="9"/>
            <color indexed="81"/>
            <rFont val="Tahoma"/>
            <family val="2"/>
          </rPr>
          <t xml:space="preserve">
Boiler Level aggregated to generator</t>
        </r>
      </text>
    </comment>
    <comment ref="H50" authorId="0">
      <text>
        <r>
          <rPr>
            <b/>
            <sz val="9"/>
            <color indexed="81"/>
            <rFont val="Tahoma"/>
            <family val="2"/>
          </rPr>
          <t>Jackson, Tricia:</t>
        </r>
        <r>
          <rPr>
            <sz val="9"/>
            <color indexed="81"/>
            <rFont val="Tahoma"/>
            <family val="2"/>
          </rPr>
          <t xml:space="preserve">
Generator Data</t>
        </r>
      </text>
    </comment>
    <comment ref="L50" authorId="0">
      <text>
        <r>
          <rPr>
            <b/>
            <sz val="9"/>
            <color indexed="81"/>
            <rFont val="Tahoma"/>
            <family val="2"/>
          </rPr>
          <t>Jackson, Tricia:</t>
        </r>
        <r>
          <rPr>
            <sz val="9"/>
            <color indexed="81"/>
            <rFont val="Tahoma"/>
            <family val="2"/>
          </rPr>
          <t xml:space="preserve">
Boiler data aggregated to generator</t>
        </r>
      </text>
    </comment>
    <comment ref="H51" authorId="0">
      <text>
        <r>
          <rPr>
            <b/>
            <sz val="9"/>
            <color indexed="81"/>
            <rFont val="Tahoma"/>
            <family val="2"/>
          </rPr>
          <t>Jackson, Tricia:</t>
        </r>
        <r>
          <rPr>
            <sz val="9"/>
            <color indexed="81"/>
            <rFont val="Tahoma"/>
            <family val="2"/>
          </rPr>
          <t xml:space="preserve">
Generator Data</t>
        </r>
      </text>
    </comment>
    <comment ref="L51" authorId="0">
      <text>
        <r>
          <rPr>
            <b/>
            <sz val="9"/>
            <color indexed="81"/>
            <rFont val="Tahoma"/>
            <family val="2"/>
          </rPr>
          <t>Jackson, Tricia:</t>
        </r>
        <r>
          <rPr>
            <sz val="9"/>
            <color indexed="81"/>
            <rFont val="Tahoma"/>
            <family val="2"/>
          </rPr>
          <t xml:space="preserve">
AMPD</t>
        </r>
      </text>
    </comment>
    <comment ref="H52" authorId="0">
      <text>
        <r>
          <rPr>
            <b/>
            <sz val="9"/>
            <color indexed="81"/>
            <rFont val="Tahoma"/>
            <family val="2"/>
          </rPr>
          <t>Jackson, Tricia:</t>
        </r>
        <r>
          <rPr>
            <sz val="9"/>
            <color indexed="81"/>
            <rFont val="Tahoma"/>
            <family val="2"/>
          </rPr>
          <t xml:space="preserve">
Generator Data</t>
        </r>
      </text>
    </comment>
    <comment ref="L52" authorId="0">
      <text>
        <r>
          <rPr>
            <b/>
            <sz val="9"/>
            <color indexed="81"/>
            <rFont val="Tahoma"/>
            <family val="2"/>
          </rPr>
          <t>Jackson, Tricia:</t>
        </r>
        <r>
          <rPr>
            <sz val="9"/>
            <color indexed="81"/>
            <rFont val="Tahoma"/>
            <family val="2"/>
          </rPr>
          <t xml:space="preserve">
AMPD</t>
        </r>
      </text>
    </comment>
    <comment ref="H53" authorId="0">
      <text>
        <r>
          <rPr>
            <b/>
            <sz val="9"/>
            <color indexed="81"/>
            <rFont val="Tahoma"/>
            <family val="2"/>
          </rPr>
          <t>Jackson, Tricia:</t>
        </r>
        <r>
          <rPr>
            <sz val="9"/>
            <color indexed="81"/>
            <rFont val="Tahoma"/>
            <family val="2"/>
          </rPr>
          <t xml:space="preserve">
Generator Data</t>
        </r>
      </text>
    </comment>
    <comment ref="L53" authorId="0">
      <text>
        <r>
          <rPr>
            <b/>
            <sz val="9"/>
            <color indexed="81"/>
            <rFont val="Tahoma"/>
            <family val="2"/>
          </rPr>
          <t>Jackson, Tricia:</t>
        </r>
        <r>
          <rPr>
            <sz val="9"/>
            <color indexed="81"/>
            <rFont val="Tahoma"/>
            <family val="2"/>
          </rPr>
          <t xml:space="preserve">
AMPD</t>
        </r>
      </text>
    </comment>
    <comment ref="H54" authorId="0">
      <text>
        <r>
          <rPr>
            <b/>
            <sz val="9"/>
            <color indexed="81"/>
            <rFont val="Tahoma"/>
            <family val="2"/>
          </rPr>
          <t>Jackson, Tricia:</t>
        </r>
        <r>
          <rPr>
            <sz val="9"/>
            <color indexed="81"/>
            <rFont val="Tahoma"/>
            <family val="2"/>
          </rPr>
          <t xml:space="preserve">
Generator Data</t>
        </r>
      </text>
    </comment>
    <comment ref="L54" authorId="0">
      <text>
        <r>
          <rPr>
            <b/>
            <sz val="9"/>
            <color indexed="81"/>
            <rFont val="Tahoma"/>
            <family val="2"/>
          </rPr>
          <t>Jackson, Tricia:</t>
        </r>
        <r>
          <rPr>
            <sz val="9"/>
            <color indexed="81"/>
            <rFont val="Tahoma"/>
            <family val="2"/>
          </rPr>
          <t xml:space="preserve">
Boiler data aggregated to plant-level</t>
        </r>
      </text>
    </comment>
    <comment ref="H55" authorId="0">
      <text>
        <r>
          <rPr>
            <b/>
            <sz val="9"/>
            <color indexed="81"/>
            <rFont val="Tahoma"/>
            <family val="2"/>
          </rPr>
          <t>Jackson, Tricia:</t>
        </r>
        <r>
          <rPr>
            <sz val="9"/>
            <color indexed="81"/>
            <rFont val="Tahoma"/>
            <family val="2"/>
          </rPr>
          <t xml:space="preserve">
Generator Data</t>
        </r>
      </text>
    </comment>
    <comment ref="L55" authorId="0">
      <text>
        <r>
          <rPr>
            <b/>
            <sz val="9"/>
            <color indexed="81"/>
            <rFont val="Tahoma"/>
            <family val="2"/>
          </rPr>
          <t>Jackson, Tricia:</t>
        </r>
        <r>
          <rPr>
            <sz val="9"/>
            <color indexed="81"/>
            <rFont val="Tahoma"/>
            <family val="2"/>
          </rPr>
          <t xml:space="preserve">
Plant data distributed according to NP</t>
        </r>
      </text>
    </comment>
  </commentList>
</comments>
</file>

<file path=xl/sharedStrings.xml><?xml version="1.0" encoding="utf-8"?>
<sst xmlns="http://schemas.openxmlformats.org/spreadsheetml/2006/main" count="3222" uniqueCount="237">
  <si>
    <t>Category</t>
  </si>
  <si>
    <t>State</t>
  </si>
  <si>
    <t xml:space="preserve">Plant Name </t>
  </si>
  <si>
    <t>ORIS code</t>
  </si>
  <si>
    <t>Generator ID</t>
  </si>
  <si>
    <t>Fuel type</t>
  </si>
  <si>
    <t>Prime 
mover type</t>
  </si>
  <si>
    <t>Nameplate 
Capacity 
(MW)</t>
  </si>
  <si>
    <t>Electric Generation 
(MWh)</t>
  </si>
  <si>
    <t>EIA Ratio (EAF) eMMBtu/totMMBtu</t>
  </si>
  <si>
    <t>Carbon Dioxide 
Emissions (Unadjusted)
(tons)</t>
  </si>
  <si>
    <t>UNITKEEP (CA&lt;25 part of CC with CT&gt;25)</t>
  </si>
  <si>
    <t>Source Category</t>
  </si>
  <si>
    <t>Cogen Flag Y/N</t>
  </si>
  <si>
    <t xml:space="preserve">Unit Status </t>
  </si>
  <si>
    <t>COALST</t>
  </si>
  <si>
    <t>AR</t>
  </si>
  <si>
    <t>Flint Creek</t>
  </si>
  <si>
    <t>1</t>
  </si>
  <si>
    <t>SUB</t>
  </si>
  <si>
    <t>ST</t>
  </si>
  <si>
    <t>Electric Utility</t>
  </si>
  <si>
    <t>N</t>
  </si>
  <si>
    <t>OP</t>
  </si>
  <si>
    <t>Independence</t>
  </si>
  <si>
    <t>2</t>
  </si>
  <si>
    <t>White Bluff</t>
  </si>
  <si>
    <t>NGCC</t>
  </si>
  <si>
    <t>Dell Power Station</t>
  </si>
  <si>
    <t>CTG1</t>
  </si>
  <si>
    <t>NG</t>
  </si>
  <si>
    <t>CT</t>
  </si>
  <si>
    <t>CTG2</t>
  </si>
  <si>
    <t>STG</t>
  </si>
  <si>
    <t>CA</t>
  </si>
  <si>
    <t>Harry L. Oswald</t>
  </si>
  <si>
    <t>G1</t>
  </si>
  <si>
    <t>G2</t>
  </si>
  <si>
    <t>G3</t>
  </si>
  <si>
    <t>G4</t>
  </si>
  <si>
    <t>G5</t>
  </si>
  <si>
    <t>G6</t>
  </si>
  <si>
    <t>G7</t>
  </si>
  <si>
    <t>G8</t>
  </si>
  <si>
    <t>G9</t>
  </si>
  <si>
    <t>Hot Spring Power Project</t>
  </si>
  <si>
    <t>GT1</t>
  </si>
  <si>
    <t>IPP</t>
  </si>
  <si>
    <t>GT2</t>
  </si>
  <si>
    <t>ST1</t>
  </si>
  <si>
    <t>KGen Hot Spring LLC</t>
  </si>
  <si>
    <t>CT1</t>
  </si>
  <si>
    <t>CT2</t>
  </si>
  <si>
    <t>Pine Bluff Energy Center</t>
  </si>
  <si>
    <t>CT01</t>
  </si>
  <si>
    <t>IPP CHP</t>
  </si>
  <si>
    <t>Y</t>
  </si>
  <si>
    <t>ST01</t>
  </si>
  <si>
    <t>Thomas Fitzhugh</t>
  </si>
  <si>
    <t>Union Power Partners LP</t>
  </si>
  <si>
    <t>CTG3</t>
  </si>
  <si>
    <t>CTG4</t>
  </si>
  <si>
    <t>CTG5</t>
  </si>
  <si>
    <t>CTG6</t>
  </si>
  <si>
    <t>CTG7</t>
  </si>
  <si>
    <t>CTG8</t>
  </si>
  <si>
    <t>STG1</t>
  </si>
  <si>
    <t>STG2</t>
  </si>
  <si>
    <t>STG3</t>
  </si>
  <si>
    <t>STG4</t>
  </si>
  <si>
    <t>OGST</t>
  </si>
  <si>
    <t>Carl Bailey</t>
  </si>
  <si>
    <t>Cecil Lynch</t>
  </si>
  <si>
    <t>OS</t>
  </si>
  <si>
    <t>3</t>
  </si>
  <si>
    <t>Hamilton Moses</t>
  </si>
  <si>
    <t>SB</t>
  </si>
  <si>
    <t>Harvey Couch</t>
  </si>
  <si>
    <t>Lake Catherine</t>
  </si>
  <si>
    <t>4</t>
  </si>
  <si>
    <t>McClellan</t>
  </si>
  <si>
    <t>Robert E Ritchie</t>
  </si>
  <si>
    <t>Plum Point Energy Station</t>
  </si>
  <si>
    <t>KGen Hot Spring Generating Facility</t>
  </si>
  <si>
    <t>IPP Non-CHP</t>
  </si>
  <si>
    <t>No Data</t>
  </si>
  <si>
    <t>Electric Utility/IPP Non-CHP</t>
  </si>
  <si>
    <t>No 2013 data</t>
  </si>
  <si>
    <t>no data</t>
  </si>
  <si>
    <t>OA</t>
  </si>
  <si>
    <t>No data</t>
  </si>
  <si>
    <t>John W Turk Jr Power Plant</t>
  </si>
  <si>
    <t>Hot Spring Generating Facility</t>
  </si>
  <si>
    <t>Magnet Cove</t>
  </si>
  <si>
    <t>Step 2 (HRI)</t>
  </si>
  <si>
    <t>Step 3a &amp; 3b (Redispatch)</t>
  </si>
  <si>
    <t>Step 6&amp;7 (State Goal Phase I &amp; II (lbs/MWh))</t>
  </si>
  <si>
    <t>Coal Rate (lb/MWh)</t>
  </si>
  <si>
    <t>NGCC Rate (lb/MWh)</t>
  </si>
  <si>
    <t>O/G rate (lb/MWh)</t>
  </si>
  <si>
    <t>Other Emissions (lbs)</t>
  </si>
  <si>
    <t>Hist Coal Gen (MWh)</t>
  </si>
  <si>
    <t>Hist NGCC Gen. (MWh)</t>
  </si>
  <si>
    <t>Historic OG steam Gen. (MWh)</t>
  </si>
  <si>
    <t>Other Gen. (MWh)</t>
  </si>
  <si>
    <t>NGCC Capacity (MW )</t>
  </si>
  <si>
    <t>Under Construction NGCC Capacity (MW)</t>
  </si>
  <si>
    <t>Adj. Coal Rate (lbs/MWh)</t>
  </si>
  <si>
    <t>Redispatched Coal Gen. (MWh)</t>
  </si>
  <si>
    <t>Redispatch O/G steam Gen. (MWh)</t>
  </si>
  <si>
    <t>Redispatched NGCC Gen. (MWh)</t>
  </si>
  <si>
    <t>2012 NGCC Capacity Factor</t>
  </si>
  <si>
    <t>Post Redispatch Assumed NGCC Capacity Factor for Existing Fleet</t>
  </si>
  <si>
    <t>Nuclear Generation Under Construction and "At Risk" (MWh)</t>
  </si>
  <si>
    <t>2020 Existing and Incremental RE</t>
  </si>
  <si>
    <t>2021 Existing and Incremental RE</t>
  </si>
  <si>
    <t>2022 Existing and Incremental RE</t>
  </si>
  <si>
    <t>2023 Existing and Incremental RE</t>
  </si>
  <si>
    <t>2024 Existing and Incremental RE</t>
  </si>
  <si>
    <t>2025 Existing and Incremental RE</t>
  </si>
  <si>
    <t>2026 Existing and Incremental RE</t>
  </si>
  <si>
    <t>2027 Existing and Incremental RE</t>
  </si>
  <si>
    <t>2028 Existing and Incremental RE</t>
  </si>
  <si>
    <t>2029 Existing and Incremental RE</t>
  </si>
  <si>
    <t>2020 EE Potential</t>
  </si>
  <si>
    <t>2021 EE Potential</t>
  </si>
  <si>
    <t>2022 EE Potential</t>
  </si>
  <si>
    <t>2023 EE Potential</t>
  </si>
  <si>
    <t>2024 EE Potential</t>
  </si>
  <si>
    <t>2025 EE Potential</t>
  </si>
  <si>
    <t>2026 EE Potential</t>
  </si>
  <si>
    <t>2027 EE Potential</t>
  </si>
  <si>
    <t>2028 EE Potential</t>
  </si>
  <si>
    <t>2029 EE Potential (%)</t>
  </si>
  <si>
    <t>2012 Total MWh (sales x 1.0751)</t>
  </si>
  <si>
    <t>Interim Goal (2020 - 2029 average)</t>
  </si>
  <si>
    <t>Final Goal (2030 and thereafter)</t>
  </si>
  <si>
    <t>Historical Emission Rate</t>
  </si>
  <si>
    <t>Building Blocks 1 and 2</t>
  </si>
  <si>
    <t>Building Blocks 1-3</t>
  </si>
  <si>
    <t>Building Blocks 1-4</t>
  </si>
  <si>
    <t>COAL</t>
  </si>
  <si>
    <t>Hours per year</t>
  </si>
  <si>
    <t>2009-2012</t>
  </si>
  <si>
    <t>2009 - 2012</t>
  </si>
  <si>
    <t>Building Block 1</t>
  </si>
  <si>
    <t>Base Year</t>
  </si>
  <si>
    <t xml:space="preserve"> 2009-2012</t>
  </si>
  <si>
    <t xml:space="preserve">Building Block 2 </t>
  </si>
  <si>
    <t>Generation (MWh)</t>
  </si>
  <si>
    <t>Other</t>
  </si>
  <si>
    <t>Emissions (tons)*</t>
  </si>
  <si>
    <t>Other* (lb)</t>
  </si>
  <si>
    <t>Net Energy Output (MWh)</t>
  </si>
  <si>
    <t>Emissions Rate (CO2lb/MWh)</t>
  </si>
  <si>
    <t>Average Generation</t>
  </si>
  <si>
    <t>Average Emissions Rate</t>
  </si>
  <si>
    <t>Average Emissions</t>
  </si>
  <si>
    <t>Other (lb)</t>
  </si>
  <si>
    <t xml:space="preserve">State Generation as % of sales </t>
  </si>
  <si>
    <t>Base Year Summary Generation, Emissions, Rates</t>
  </si>
  <si>
    <t xml:space="preserve">*Assumption: Changing the base year for historical fossil generation does not effect building blocks 3 and 4; therefore, those cells do not have active formulas.  </t>
  </si>
  <si>
    <t>Step 4a Nuclear*</t>
  </si>
  <si>
    <t>Step 4b Renewable (MWh)*</t>
  </si>
  <si>
    <t>Step 5 (Demand Side EE - % of avoided MWh sales)*</t>
  </si>
  <si>
    <t>Step 1 (Data for Fossil Sources)</t>
  </si>
  <si>
    <t>Proposed Approach Region for Arkansas</t>
  </si>
  <si>
    <t>Assigned Region</t>
  </si>
  <si>
    <t>2012 Total 
In-State Generation</t>
  </si>
  <si>
    <t>2012 RE  In-State Generation</t>
  </si>
  <si>
    <t>2012 Total Fossil  In-State Generation</t>
  </si>
  <si>
    <t>2012 Indian Country (IC) Fossil Generation</t>
  </si>
  <si>
    <t>Adjusted Fossil Generation without IC Fossil</t>
  </si>
  <si>
    <t>Adjusted Total Generation without IC Fossil</t>
  </si>
  <si>
    <t>20% RE goal</t>
  </si>
  <si>
    <t>Regional target</t>
  </si>
  <si>
    <t>2012 Regional RE</t>
  </si>
  <si>
    <t>Annual Growth Rate</t>
  </si>
  <si>
    <t>South Central</t>
  </si>
  <si>
    <t>KS</t>
  </si>
  <si>
    <t>LA</t>
  </si>
  <si>
    <t>NE</t>
  </si>
  <si>
    <t>OK</t>
  </si>
  <si>
    <t>TX</t>
  </si>
  <si>
    <t>Arkansas included in Southeast Region</t>
  </si>
  <si>
    <t>10% RE goal</t>
  </si>
  <si>
    <t>AL</t>
  </si>
  <si>
    <t>Southeast</t>
  </si>
  <si>
    <t>FL</t>
  </si>
  <si>
    <t>GA</t>
  </si>
  <si>
    <t>KY</t>
  </si>
  <si>
    <t>MS</t>
  </si>
  <si>
    <t>NC</t>
  </si>
  <si>
    <t>SC</t>
  </si>
  <si>
    <t>TN</t>
  </si>
  <si>
    <t>Arkansas and Louisiana included in Southeast Region</t>
  </si>
  <si>
    <t>All generation is in MWh</t>
  </si>
  <si>
    <t>TYPE OF PRODUCER</t>
  </si>
  <si>
    <t>ENERGY SOURCE</t>
  </si>
  <si>
    <t>GENERATION (Megawatthours)</t>
  </si>
  <si>
    <t>Scenario</t>
  </si>
  <si>
    <t>Target RE Generation (MWh)</t>
  </si>
  <si>
    <t>Total Electric Power Industry</t>
  </si>
  <si>
    <t>Other Biomass</t>
  </si>
  <si>
    <t>Wood and Wood Derived Fuels</t>
  </si>
  <si>
    <t>AR included in Southeast</t>
  </si>
  <si>
    <t>Total RE</t>
  </si>
  <si>
    <t>All values are in MWh</t>
  </si>
  <si>
    <t>Scenarios</t>
  </si>
  <si>
    <t>AR and LA included in Southeast</t>
  </si>
  <si>
    <t>AR in Proposed Region</t>
  </si>
  <si>
    <t>AR in Proposed Regions</t>
  </si>
  <si>
    <t xml:space="preserve">Net Generation by State by Type of Producer by Energy Source (EIA-906, EIA-920, and EIA-923) . </t>
  </si>
  <si>
    <t>2012 RE Source:</t>
  </si>
  <si>
    <t>Dataset</t>
  </si>
  <si>
    <t>EPA 2012 dataset</t>
  </si>
  <si>
    <t>Prime-Mover Specific 2012 Dataset</t>
  </si>
  <si>
    <t>Prime Mover Specific</t>
  </si>
  <si>
    <t>CA and CT aggregated</t>
  </si>
  <si>
    <t>Other Generation (MWh)</t>
  </si>
  <si>
    <t>NGCC Emissions (tons CO2)</t>
  </si>
  <si>
    <t>NGCC Emissions rate (lb CO2/MWh)</t>
  </si>
  <si>
    <t>Other Emissions (lb CO2)</t>
  </si>
  <si>
    <t>Final Goal (lb CO2/MWh)</t>
  </si>
  <si>
    <t>2012 including UTO</t>
  </si>
  <si>
    <t>2012 excluding UTO</t>
  </si>
  <si>
    <t>2012 UTO included</t>
  </si>
  <si>
    <t>2012 UTO excluded</t>
  </si>
  <si>
    <r>
      <t xml:space="preserve">Useful Thermal Output (UTO) (MMBtu) </t>
    </r>
    <r>
      <rPr>
        <b/>
        <vertAlign val="superscript"/>
        <sz val="11"/>
        <color theme="1"/>
        <rFont val="Calibri"/>
        <family val="2"/>
        <scheme val="minor"/>
      </rPr>
      <t>1</t>
    </r>
  </si>
  <si>
    <r>
      <t xml:space="preserve">Net Energy Output (MWh) </t>
    </r>
    <r>
      <rPr>
        <b/>
        <vertAlign val="superscript"/>
        <sz val="11"/>
        <color theme="1"/>
        <rFont val="Calibri"/>
        <family val="2"/>
        <scheme val="minor"/>
      </rPr>
      <t>2</t>
    </r>
  </si>
  <si>
    <t>Air Markets Program Data</t>
  </si>
  <si>
    <t>Form EIA-860 detailed data</t>
  </si>
  <si>
    <t>Form EIA 923 detailed data</t>
  </si>
  <si>
    <t>Form EIA 861 detailed data</t>
  </si>
  <si>
    <t>U.S. Renewable Energy Technical Potentials: A GIS-Based Analysis</t>
  </si>
  <si>
    <t xml:space="preserve">Clean Power Plan Propose Rule </t>
  </si>
  <si>
    <t>(Click on link to Technical Support Documents)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</si>
</sst>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
    <numFmt numFmtId="166" formatCode="#,##0.00000"/>
    <numFmt numFmtId="167" formatCode="_(* #,##0_);_(* \(#,##0\);_(* &quot;-&quot;??_);_(@_)"/>
    <numFmt numFmtId="168" formatCode="0.000000000"/>
    <numFmt numFmtId="169" formatCode="0.00000000000"/>
    <numFmt numFmtId="170" formatCode="0.00000000000000"/>
    <numFmt numFmtId="171" formatCode="0.000000000000000000000000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MS Sans Serif"/>
      <family val="2"/>
    </font>
    <font>
      <sz val="11"/>
      <color theme="1"/>
      <name val="Arial"/>
      <family val="2"/>
    </font>
    <font>
      <b/>
      <sz val="9"/>
      <color indexed="81"/>
      <name val="Tahoma"/>
      <family val="2"/>
    </font>
    <font>
      <sz val="9"/>
      <color indexed="81"/>
      <name val="Tahoma"/>
      <family val="2"/>
    </font>
    <font>
      <sz val="10"/>
      <color indexed="8"/>
      <name val="Arial"/>
      <family val="2"/>
    </font>
    <font>
      <sz val="12"/>
      <color indexed="8"/>
      <name val="Calibri"/>
      <family val="2"/>
    </font>
    <font>
      <sz val="12"/>
      <color theme="1"/>
      <name val="Calibri"/>
      <family val="2"/>
      <scheme val="minor"/>
    </font>
    <font>
      <sz val="12"/>
      <color theme="0"/>
      <name val="Calibri"/>
      <family val="2"/>
      <scheme val="minor"/>
    </font>
    <font>
      <sz val="12"/>
      <color rgb="FF9C0006"/>
      <name val="Calibri"/>
      <family val="2"/>
      <scheme val="minor"/>
    </font>
    <font>
      <b/>
      <sz val="12"/>
      <color rgb="FFFA7D00"/>
      <name val="Calibri"/>
      <family val="2"/>
      <scheme val="minor"/>
    </font>
    <font>
      <b/>
      <sz val="12"/>
      <color theme="0"/>
      <name val="Calibri"/>
      <family val="2"/>
      <scheme val="minor"/>
    </font>
    <font>
      <i/>
      <sz val="12"/>
      <color rgb="FF7F7F7F"/>
      <name val="Calibri"/>
      <family val="2"/>
      <scheme val="minor"/>
    </font>
    <font>
      <sz val="12"/>
      <color rgb="FF006100"/>
      <name val="Calibri"/>
      <family val="2"/>
      <scheme val="minor"/>
    </font>
    <font>
      <sz val="12"/>
      <color rgb="FF3F3F76"/>
      <name val="Calibri"/>
      <family val="2"/>
      <scheme val="minor"/>
    </font>
    <font>
      <sz val="12"/>
      <color rgb="FFFA7D00"/>
      <name val="Calibri"/>
      <family val="2"/>
      <scheme val="minor"/>
    </font>
    <font>
      <sz val="12"/>
      <color rgb="FF9C6500"/>
      <name val="Calibri"/>
      <family val="2"/>
      <scheme val="minor"/>
    </font>
    <font>
      <b/>
      <sz val="12"/>
      <color rgb="FF3F3F3F"/>
      <name val="Calibri"/>
      <family val="2"/>
      <scheme val="minor"/>
    </font>
    <font>
      <b/>
      <sz val="12"/>
      <color theme="1"/>
      <name val="Calibri"/>
      <family val="2"/>
      <scheme val="minor"/>
    </font>
    <font>
      <sz val="12"/>
      <color rgb="FFFF0000"/>
      <name val="Calibri"/>
      <family val="2"/>
      <scheme val="minor"/>
    </font>
    <font>
      <sz val="11"/>
      <name val="Calibri"/>
      <family val="2"/>
      <scheme val="minor"/>
    </font>
    <font>
      <b/>
      <sz val="10"/>
      <name val="Arial"/>
      <family val="2"/>
    </font>
    <font>
      <sz val="11"/>
      <color rgb="FF1F497D"/>
      <name val="Calibri"/>
      <family val="2"/>
      <scheme val="minor"/>
    </font>
    <font>
      <u/>
      <sz val="11"/>
      <color theme="10"/>
      <name val="Calibri"/>
      <family val="2"/>
      <scheme val="minor"/>
    </font>
    <font>
      <b/>
      <vertAlign val="superscript"/>
      <sz val="11"/>
      <color theme="1"/>
      <name val="Calibri"/>
      <family val="2"/>
      <scheme val="minor"/>
    </font>
    <font>
      <sz val="11"/>
      <color indexed="8"/>
      <name val="Calibri"/>
      <family val="2"/>
      <scheme val="minor"/>
    </font>
    <font>
      <sz val="11"/>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999999"/>
      </right>
      <top style="medium">
        <color indexed="64"/>
      </top>
      <bottom style="thin">
        <color indexed="64"/>
      </bottom>
      <diagonal/>
    </border>
    <border>
      <left style="thin">
        <color rgb="FF999999"/>
      </left>
      <right style="thin">
        <color rgb="FF999999"/>
      </right>
      <top style="medium">
        <color indexed="64"/>
      </top>
      <bottom style="thin">
        <color indexed="64"/>
      </bottom>
      <diagonal/>
    </border>
    <border>
      <left style="thin">
        <color rgb="FF999999"/>
      </left>
      <right style="thin">
        <color rgb="FF999999"/>
      </right>
      <top style="medium">
        <color indexed="64"/>
      </top>
      <bottom style="thin">
        <color rgb="FF999999"/>
      </bottom>
      <diagonal/>
    </border>
    <border>
      <left style="thin">
        <color rgb="FF999999"/>
      </left>
      <right style="medium">
        <color indexed="64"/>
      </right>
      <top style="medium">
        <color indexed="64"/>
      </top>
      <bottom style="thin">
        <color rgb="FF999999"/>
      </bottom>
      <diagonal/>
    </border>
    <border>
      <left style="medium">
        <color indexed="64"/>
      </left>
      <right style="thin">
        <color rgb="FF999999"/>
      </right>
      <top/>
      <bottom/>
      <diagonal/>
    </border>
    <border>
      <left style="thin">
        <color rgb="FF999999"/>
      </left>
      <right style="thin">
        <color rgb="FF999999"/>
      </right>
      <top/>
      <bottom/>
      <diagonal/>
    </border>
    <border>
      <left style="medium">
        <color indexed="64"/>
      </left>
      <right style="thin">
        <color rgb="FF999999"/>
      </right>
      <top/>
      <bottom style="medium">
        <color indexed="64"/>
      </bottom>
      <diagonal/>
    </border>
    <border>
      <left style="thin">
        <color rgb="FF999999"/>
      </left>
      <right style="thin">
        <color rgb="FF999999"/>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999999"/>
      </left>
      <right style="thin">
        <color indexed="64"/>
      </right>
      <top style="thin">
        <color rgb="FF999999"/>
      </top>
      <bottom style="medium">
        <color indexed="64"/>
      </bottom>
      <diagonal/>
    </border>
    <border>
      <left/>
      <right style="thin">
        <color indexed="64"/>
      </right>
      <top style="thin">
        <color rgb="FF999999"/>
      </top>
      <bottom/>
      <diagonal/>
    </border>
    <border>
      <left/>
      <right style="thin">
        <color indexed="64"/>
      </right>
      <top/>
      <bottom style="medium">
        <color indexed="64"/>
      </bottom>
      <diagonal/>
    </border>
    <border>
      <left style="thin">
        <color rgb="FF999999"/>
      </left>
      <right style="thin">
        <color indexed="64"/>
      </right>
      <top style="thin">
        <color rgb="FF999999"/>
      </top>
      <bottom/>
      <diagonal/>
    </border>
    <border>
      <left style="thin">
        <color rgb="FF999999"/>
      </left>
      <right style="thin">
        <color indexed="64"/>
      </right>
      <top/>
      <bottom/>
      <diagonal/>
    </border>
    <border>
      <left style="thin">
        <color rgb="FF999999"/>
      </left>
      <right style="thin">
        <color indexed="64"/>
      </right>
      <top/>
      <bottom style="medium">
        <color indexed="64"/>
      </bottom>
      <diagonal/>
    </border>
    <border>
      <left/>
      <right style="thin">
        <color rgb="FF999999"/>
      </right>
      <top style="thin">
        <color rgb="FF999999"/>
      </top>
      <bottom style="thin">
        <color rgb="FF999999"/>
      </bottom>
      <diagonal/>
    </border>
    <border>
      <left/>
      <right style="thin">
        <color rgb="FF999999"/>
      </right>
      <top style="thin">
        <color rgb="FF999999"/>
      </top>
      <bottom style="medium">
        <color indexed="64"/>
      </bottom>
      <diagonal/>
    </border>
    <border>
      <left style="thin">
        <color rgb="FF999999"/>
      </left>
      <right style="thin">
        <color indexed="64"/>
      </right>
      <top style="thin">
        <color rgb="FF999999"/>
      </top>
      <bottom style="thin">
        <color rgb="FF999999"/>
      </bottom>
      <diagonal/>
    </border>
    <border>
      <left style="thin">
        <color indexed="64"/>
      </left>
      <right style="thin">
        <color indexed="64"/>
      </right>
      <top style="thin">
        <color rgb="FF999999"/>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6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0" fontId="5" fillId="0" borderId="0"/>
    <xf numFmtId="0" fontId="4" fillId="0" borderId="0"/>
    <xf numFmtId="0" fontId="3" fillId="0" borderId="0"/>
    <xf numFmtId="0" fontId="8" fillId="0" borderId="0"/>
    <xf numFmtId="0" fontId="1" fillId="0" borderId="0"/>
    <xf numFmtId="0" fontId="1" fillId="0" borderId="0"/>
    <xf numFmtId="0" fontId="4" fillId="0" borderId="0"/>
    <xf numFmtId="0" fontId="9" fillId="0" borderId="0"/>
    <xf numFmtId="0" fontId="1" fillId="0" borderId="0"/>
    <xf numFmtId="43" fontId="3" fillId="0" borderId="0" applyFon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1" applyNumberFormat="0" applyAlignment="0" applyProtection="0"/>
    <xf numFmtId="0" fontId="14" fillId="7" borderId="4" applyNumberFormat="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5" borderId="1" applyNumberFormat="0" applyAlignment="0" applyProtection="0"/>
    <xf numFmtId="0" fontId="18" fillId="0" borderId="3" applyNumberFormat="0" applyFill="0" applyAlignment="0" applyProtection="0"/>
    <xf numFmtId="0" fontId="19" fillId="4" borderId="0" applyNumberFormat="0" applyBorder="0" applyAlignment="0" applyProtection="0"/>
    <xf numFmtId="0" fontId="4" fillId="0" borderId="0"/>
    <xf numFmtId="0" fontId="5" fillId="0" borderId="0"/>
    <xf numFmtId="0" fontId="3" fillId="0" borderId="0"/>
    <xf numFmtId="0" fontId="10" fillId="8" borderId="5" applyNumberFormat="0" applyFont="0" applyAlignment="0" applyProtection="0"/>
    <xf numFmtId="0" fontId="20" fillId="6" borderId="2" applyNumberFormat="0" applyAlignment="0" applyProtection="0"/>
    <xf numFmtId="9" fontId="3" fillId="0" borderId="0" applyFont="0" applyFill="0" applyBorder="0" applyAlignment="0" applyProtection="0"/>
    <xf numFmtId="0" fontId="21" fillId="0" borderId="6" applyNumberFormat="0" applyFill="0" applyAlignment="0" applyProtection="0"/>
    <xf numFmtId="0" fontId="22"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0" fontId="3" fillId="0" borderId="0"/>
    <xf numFmtId="9" fontId="10" fillId="0" borderId="0" applyFont="0" applyFill="0" applyBorder="0" applyAlignment="0" applyProtection="0"/>
    <xf numFmtId="0" fontId="26" fillId="0" borderId="0" applyNumberFormat="0" applyFill="0" applyBorder="0" applyAlignment="0" applyProtection="0"/>
  </cellStyleXfs>
  <cellXfs count="260">
    <xf numFmtId="0" fontId="0" fillId="0" borderId="0" xfId="0"/>
    <xf numFmtId="0" fontId="3" fillId="0" borderId="0" xfId="3"/>
    <xf numFmtId="3" fontId="0" fillId="0" borderId="0" xfId="0" applyNumberFormat="1"/>
    <xf numFmtId="2" fontId="0" fillId="0" borderId="0" xfId="0" applyNumberFormat="1" applyBorder="1"/>
    <xf numFmtId="0" fontId="0" fillId="0" borderId="0" xfId="0" applyBorder="1"/>
    <xf numFmtId="0" fontId="2" fillId="0" borderId="0" xfId="13" applyFont="1" applyFill="1"/>
    <xf numFmtId="0" fontId="1" fillId="0" borderId="0" xfId="13" applyFill="1" applyAlignment="1">
      <alignment wrapText="1"/>
    </xf>
    <xf numFmtId="0" fontId="1" fillId="0" borderId="0" xfId="13"/>
    <xf numFmtId="0" fontId="1" fillId="0" borderId="0" xfId="13" applyAlignment="1">
      <alignment wrapText="1"/>
    </xf>
    <xf numFmtId="167" fontId="1" fillId="0" borderId="0" xfId="14" applyNumberFormat="1" applyFont="1"/>
    <xf numFmtId="0" fontId="1" fillId="0" borderId="0" xfId="13" applyFont="1"/>
    <xf numFmtId="3" fontId="1" fillId="0" borderId="0" xfId="14" applyNumberFormat="1" applyFont="1"/>
    <xf numFmtId="3" fontId="1" fillId="0" borderId="0" xfId="13" applyNumberFormat="1"/>
    <xf numFmtId="0" fontId="1" fillId="0" borderId="0" xfId="13" applyFont="1" applyAlignment="1">
      <alignment wrapText="1"/>
    </xf>
    <xf numFmtId="0" fontId="1" fillId="0" borderId="0" xfId="13" applyAlignment="1">
      <alignment horizontal="right" wrapText="1"/>
    </xf>
    <xf numFmtId="0" fontId="1" fillId="0" borderId="0" xfId="13" applyFont="1" applyAlignment="1">
      <alignment horizontal="right" wrapText="1"/>
    </xf>
    <xf numFmtId="0" fontId="0" fillId="0" borderId="0" xfId="13" applyFont="1"/>
    <xf numFmtId="0" fontId="1" fillId="0" borderId="7" xfId="13" applyBorder="1" applyAlignment="1">
      <alignment wrapText="1"/>
    </xf>
    <xf numFmtId="0" fontId="0" fillId="0" borderId="7" xfId="13" applyFont="1" applyBorder="1" applyAlignment="1">
      <alignment wrapText="1"/>
    </xf>
    <xf numFmtId="0" fontId="1" fillId="0" borderId="7" xfId="13" applyBorder="1"/>
    <xf numFmtId="0" fontId="1" fillId="34" borderId="7" xfId="13" applyFill="1" applyBorder="1" applyAlignment="1">
      <alignment wrapText="1"/>
    </xf>
    <xf numFmtId="0" fontId="1" fillId="35" borderId="7" xfId="13" applyFill="1" applyBorder="1" applyAlignment="1">
      <alignment wrapText="1"/>
    </xf>
    <xf numFmtId="0" fontId="1" fillId="36" borderId="7" xfId="13" applyFill="1" applyBorder="1" applyAlignment="1">
      <alignment wrapText="1"/>
    </xf>
    <xf numFmtId="0" fontId="3" fillId="37" borderId="7" xfId="3" applyFill="1" applyBorder="1" applyAlignment="1">
      <alignment wrapText="1"/>
    </xf>
    <xf numFmtId="0" fontId="3" fillId="38" borderId="7" xfId="3" applyFill="1" applyBorder="1" applyAlignment="1">
      <alignment wrapText="1"/>
    </xf>
    <xf numFmtId="0" fontId="3" fillId="39" borderId="7" xfId="3" applyFill="1" applyBorder="1" applyAlignment="1">
      <alignment wrapText="1"/>
    </xf>
    <xf numFmtId="3" fontId="3" fillId="39" borderId="7" xfId="3" applyNumberFormat="1" applyFill="1" applyBorder="1" applyAlignment="1">
      <alignment wrapText="1"/>
    </xf>
    <xf numFmtId="0" fontId="3" fillId="40" borderId="7" xfId="3" applyFont="1" applyFill="1" applyBorder="1" applyAlignment="1">
      <alignment wrapText="1"/>
    </xf>
    <xf numFmtId="0" fontId="2" fillId="40" borderId="7" xfId="3" applyFont="1" applyFill="1" applyBorder="1" applyAlignment="1">
      <alignment wrapText="1"/>
    </xf>
    <xf numFmtId="0" fontId="2" fillId="0" borderId="17" xfId="13" applyFont="1" applyBorder="1" applyAlignment="1">
      <alignment wrapText="1"/>
    </xf>
    <xf numFmtId="0" fontId="2" fillId="35" borderId="18" xfId="13" applyFont="1" applyFill="1" applyBorder="1" applyAlignment="1">
      <alignment horizontal="center" wrapText="1"/>
    </xf>
    <xf numFmtId="3" fontId="2" fillId="37" borderId="18" xfId="3" applyNumberFormat="1" applyFont="1" applyFill="1" applyBorder="1" applyAlignment="1">
      <alignment horizontal="center"/>
    </xf>
    <xf numFmtId="0" fontId="0" fillId="0" borderId="9" xfId="13" applyFont="1" applyBorder="1" applyAlignment="1">
      <alignment wrapText="1"/>
    </xf>
    <xf numFmtId="0" fontId="2" fillId="40" borderId="10" xfId="3" applyFont="1" applyFill="1" applyBorder="1" applyAlignment="1">
      <alignment wrapText="1"/>
    </xf>
    <xf numFmtId="0" fontId="1" fillId="0" borderId="23" xfId="13" applyBorder="1" applyAlignment="1">
      <alignment wrapText="1"/>
    </xf>
    <xf numFmtId="3" fontId="1" fillId="0" borderId="0" xfId="13" applyNumberFormat="1" applyBorder="1"/>
    <xf numFmtId="0" fontId="1" fillId="0" borderId="0" xfId="13" applyBorder="1"/>
    <xf numFmtId="9" fontId="1" fillId="0" borderId="0" xfId="13" applyNumberFormat="1" applyBorder="1"/>
    <xf numFmtId="3" fontId="3" fillId="0" borderId="0" xfId="3" applyNumberFormat="1" applyBorder="1"/>
    <xf numFmtId="10" fontId="3" fillId="0" borderId="0" xfId="3" applyNumberFormat="1" applyBorder="1"/>
    <xf numFmtId="0" fontId="1" fillId="0" borderId="9" xfId="13" applyBorder="1" applyAlignment="1">
      <alignment horizontal="right" wrapText="1"/>
    </xf>
    <xf numFmtId="0" fontId="0" fillId="0" borderId="9" xfId="13" applyFont="1" applyBorder="1" applyAlignment="1">
      <alignment horizontal="right" wrapText="1"/>
    </xf>
    <xf numFmtId="0" fontId="1" fillId="0" borderId="20" xfId="13" applyBorder="1" applyAlignment="1">
      <alignment horizontal="right" wrapText="1"/>
    </xf>
    <xf numFmtId="0" fontId="1" fillId="0" borderId="7" xfId="13" applyBorder="1" applyAlignment="1">
      <alignment horizontal="right"/>
    </xf>
    <xf numFmtId="0" fontId="1" fillId="0" borderId="7" xfId="13" applyBorder="1" applyAlignment="1">
      <alignment horizontal="right" wrapText="1"/>
    </xf>
    <xf numFmtId="167" fontId="1" fillId="0" borderId="7" xfId="14" applyNumberFormat="1" applyFont="1" applyBorder="1"/>
    <xf numFmtId="0" fontId="0" fillId="0" borderId="7" xfId="13" applyFont="1" applyBorder="1" applyAlignment="1">
      <alignment horizontal="right" wrapText="1"/>
    </xf>
    <xf numFmtId="0" fontId="3" fillId="0" borderId="0" xfId="3" applyBorder="1"/>
    <xf numFmtId="10" fontId="0" fillId="39" borderId="7" xfId="2" applyNumberFormat="1" applyFont="1" applyFill="1" applyBorder="1"/>
    <xf numFmtId="0" fontId="23" fillId="0" borderId="17" xfId="55" applyFont="1" applyBorder="1" applyAlignment="1">
      <alignment horizontal="center" vertical="center"/>
    </xf>
    <xf numFmtId="0" fontId="23" fillId="0" borderId="18" xfId="55" applyFont="1" applyBorder="1" applyAlignment="1">
      <alignment horizontal="center" vertical="center" wrapText="1"/>
    </xf>
    <xf numFmtId="0" fontId="0" fillId="0" borderId="18" xfId="0" applyBorder="1" applyAlignment="1">
      <alignment horizontal="center" vertical="center" wrapText="1"/>
    </xf>
    <xf numFmtId="167" fontId="0" fillId="0" borderId="18" xfId="1" applyNumberFormat="1" applyFont="1" applyBorder="1" applyAlignment="1">
      <alignment horizontal="center" vertical="center" wrapText="1"/>
    </xf>
    <xf numFmtId="0" fontId="23" fillId="0" borderId="28" xfId="55" applyFont="1" applyBorder="1" applyAlignment="1">
      <alignment horizontal="center" vertical="center" wrapText="1"/>
    </xf>
    <xf numFmtId="167" fontId="23" fillId="0" borderId="29" xfId="56" applyNumberFormat="1" applyFont="1" applyBorder="1" applyAlignment="1">
      <alignment horizontal="center" vertical="center" wrapText="1"/>
    </xf>
    <xf numFmtId="167" fontId="23" fillId="0" borderId="30" xfId="56" applyNumberFormat="1" applyFont="1" applyBorder="1" applyAlignment="1">
      <alignment horizontal="center" vertical="center" wrapText="1"/>
    </xf>
    <xf numFmtId="167" fontId="23" fillId="0" borderId="31" xfId="56" applyNumberFormat="1" applyFont="1" applyBorder="1" applyAlignment="1">
      <alignment horizontal="center" vertical="center" wrapText="1"/>
    </xf>
    <xf numFmtId="167" fontId="23" fillId="0" borderId="32" xfId="55" applyNumberFormat="1" applyFont="1" applyBorder="1"/>
    <xf numFmtId="167" fontId="23" fillId="0" borderId="33" xfId="55" applyNumberFormat="1" applyFont="1" applyBorder="1"/>
    <xf numFmtId="10" fontId="0" fillId="0" borderId="24" xfId="0" applyNumberFormat="1" applyBorder="1"/>
    <xf numFmtId="167" fontId="23" fillId="0" borderId="34" xfId="55" applyNumberFormat="1" applyFont="1" applyBorder="1"/>
    <xf numFmtId="167" fontId="23" fillId="0" borderId="35" xfId="55" applyNumberFormat="1" applyFont="1" applyBorder="1"/>
    <xf numFmtId="10" fontId="0" fillId="0" borderId="16" xfId="0" applyNumberFormat="1" applyBorder="1"/>
    <xf numFmtId="167" fontId="23" fillId="0" borderId="0" xfId="55" applyNumberFormat="1" applyFont="1" applyBorder="1"/>
    <xf numFmtId="167" fontId="23" fillId="0" borderId="0" xfId="56" applyNumberFormat="1" applyFont="1" applyBorder="1"/>
    <xf numFmtId="10" fontId="0" fillId="0" borderId="0" xfId="0" applyNumberFormat="1" applyBorder="1"/>
    <xf numFmtId="9" fontId="0" fillId="0" borderId="0" xfId="2" applyFont="1" applyBorder="1"/>
    <xf numFmtId="167" fontId="23" fillId="0" borderId="0" xfId="55" applyNumberFormat="1" applyFont="1" applyFill="1" applyBorder="1"/>
    <xf numFmtId="0" fontId="24" fillId="41" borderId="7" xfId="57" quotePrefix="1" applyNumberFormat="1" applyFont="1" applyFill="1" applyBorder="1" applyAlignment="1">
      <alignment horizontal="center" vertical="center"/>
    </xf>
    <xf numFmtId="3" fontId="24" fillId="41" borderId="7" xfId="57" quotePrefix="1" applyNumberFormat="1" applyFont="1" applyFill="1" applyBorder="1" applyAlignment="1">
      <alignment horizontal="center" vertical="center" wrapText="1"/>
    </xf>
    <xf numFmtId="0" fontId="3" fillId="42" borderId="7" xfId="57" quotePrefix="1" applyNumberFormat="1" applyFont="1" applyFill="1" applyBorder="1" applyAlignment="1">
      <alignment horizontal="center"/>
    </xf>
    <xf numFmtId="3" fontId="3" fillId="43" borderId="7" xfId="57" quotePrefix="1" applyNumberFormat="1" applyFont="1" applyFill="1" applyBorder="1"/>
    <xf numFmtId="0" fontId="0" fillId="38" borderId="7" xfId="0" applyFill="1" applyBorder="1" applyAlignment="1">
      <alignment wrapText="1"/>
    </xf>
    <xf numFmtId="0" fontId="0" fillId="0" borderId="7" xfId="0" applyBorder="1"/>
    <xf numFmtId="0" fontId="25" fillId="0" borderId="0" xfId="0" applyFont="1" applyAlignment="1">
      <alignment vertical="center"/>
    </xf>
    <xf numFmtId="0" fontId="0" fillId="38" borderId="11" xfId="0" applyFill="1" applyBorder="1" applyAlignment="1">
      <alignment wrapText="1"/>
    </xf>
    <xf numFmtId="167" fontId="0" fillId="0" borderId="7" xfId="1" applyNumberFormat="1" applyFont="1" applyBorder="1"/>
    <xf numFmtId="167" fontId="0" fillId="33" borderId="7" xfId="1" applyNumberFormat="1" applyFont="1" applyFill="1" applyBorder="1"/>
    <xf numFmtId="167" fontId="0" fillId="38" borderId="7" xfId="1" applyNumberFormat="1" applyFont="1" applyFill="1" applyBorder="1" applyAlignment="1">
      <alignment wrapText="1"/>
    </xf>
    <xf numFmtId="0" fontId="0" fillId="0" borderId="37" xfId="0" applyBorder="1" applyAlignment="1">
      <alignment wrapText="1"/>
    </xf>
    <xf numFmtId="0" fontId="0" fillId="0" borderId="38" xfId="0" applyBorder="1" applyAlignment="1">
      <alignment wrapText="1"/>
    </xf>
    <xf numFmtId="167" fontId="0" fillId="0" borderId="40" xfId="1" applyNumberFormat="1" applyFont="1" applyBorder="1"/>
    <xf numFmtId="2" fontId="0" fillId="0" borderId="12" xfId="0" applyNumberFormat="1" applyBorder="1"/>
    <xf numFmtId="167" fontId="0" fillId="0" borderId="13" xfId="1" applyNumberFormat="1" applyFont="1" applyBorder="1"/>
    <xf numFmtId="0" fontId="26" fillId="0" borderId="0" xfId="60"/>
    <xf numFmtId="167" fontId="23" fillId="0" borderId="33" xfId="1" applyNumberFormat="1" applyFont="1" applyBorder="1"/>
    <xf numFmtId="167" fontId="23" fillId="0" borderId="35" xfId="1" applyNumberFormat="1" applyFont="1" applyBorder="1"/>
    <xf numFmtId="168" fontId="0" fillId="0" borderId="0" xfId="0" applyNumberFormat="1"/>
    <xf numFmtId="169" fontId="0" fillId="0" borderId="0" xfId="0" applyNumberFormat="1"/>
    <xf numFmtId="170" fontId="0" fillId="0" borderId="0" xfId="0" applyNumberFormat="1"/>
    <xf numFmtId="171" fontId="0" fillId="0" borderId="0" xfId="0" applyNumberFormat="1"/>
    <xf numFmtId="0" fontId="0" fillId="0" borderId="9" xfId="13" applyFont="1" applyBorder="1" applyAlignment="1">
      <alignment horizontal="right"/>
    </xf>
    <xf numFmtId="0" fontId="0" fillId="0" borderId="0" xfId="0" applyAlignment="1"/>
    <xf numFmtId="0" fontId="0" fillId="0" borderId="7" xfId="0" applyBorder="1" applyAlignment="1">
      <alignment wrapText="1"/>
    </xf>
    <xf numFmtId="0" fontId="0" fillId="0" borderId="7" xfId="0" applyBorder="1" applyAlignment="1"/>
    <xf numFmtId="3" fontId="0" fillId="0" borderId="7" xfId="0" applyNumberFormat="1" applyBorder="1" applyAlignment="1"/>
    <xf numFmtId="3" fontId="0" fillId="0" borderId="7" xfId="0" applyNumberFormat="1" applyBorder="1"/>
    <xf numFmtId="0" fontId="0" fillId="0" borderId="7" xfId="0" applyBorder="1" applyAlignment="1">
      <alignment horizontal="right"/>
    </xf>
    <xf numFmtId="3" fontId="1" fillId="34" borderId="7" xfId="13" applyNumberFormat="1" applyFill="1" applyBorder="1" applyAlignment="1"/>
    <xf numFmtId="3" fontId="1" fillId="34" borderId="7" xfId="13" applyNumberFormat="1" applyFont="1" applyFill="1" applyBorder="1" applyAlignment="1"/>
    <xf numFmtId="3" fontId="1" fillId="35" borderId="7" xfId="13" applyNumberFormat="1" applyFill="1" applyBorder="1" applyAlignment="1"/>
    <xf numFmtId="3" fontId="1" fillId="36" borderId="7" xfId="13" applyNumberFormat="1" applyFill="1" applyBorder="1" applyAlignment="1"/>
    <xf numFmtId="9" fontId="1" fillId="36" borderId="7" xfId="13" applyNumberFormat="1" applyFill="1" applyBorder="1" applyAlignment="1"/>
    <xf numFmtId="3" fontId="3" fillId="37" borderId="7" xfId="3" applyNumberFormat="1" applyFill="1" applyBorder="1" applyAlignment="1"/>
    <xf numFmtId="3" fontId="3" fillId="38" borderId="7" xfId="3" applyNumberFormat="1" applyFill="1" applyBorder="1" applyAlignment="1"/>
    <xf numFmtId="10" fontId="3" fillId="39" borderId="7" xfId="3" applyNumberFormat="1" applyFill="1" applyBorder="1" applyAlignment="1"/>
    <xf numFmtId="10" fontId="0" fillId="39" borderId="7" xfId="2" applyNumberFormat="1" applyFont="1" applyFill="1" applyBorder="1" applyAlignment="1"/>
    <xf numFmtId="3" fontId="3" fillId="39" borderId="7" xfId="3" applyNumberFormat="1" applyFill="1" applyBorder="1" applyAlignment="1"/>
    <xf numFmtId="3" fontId="1" fillId="40" borderId="7" xfId="13" applyNumberFormat="1" applyFill="1" applyBorder="1" applyAlignment="1"/>
    <xf numFmtId="3" fontId="1" fillId="40" borderId="10" xfId="13" applyNumberFormat="1" applyFill="1" applyBorder="1" applyAlignment="1"/>
    <xf numFmtId="0" fontId="0" fillId="0" borderId="9" xfId="13" applyFont="1" applyBorder="1" applyAlignment="1">
      <alignment horizontal="center" wrapText="1"/>
    </xf>
    <xf numFmtId="3" fontId="0" fillId="34" borderId="7" xfId="0" applyNumberFormat="1" applyFill="1" applyBorder="1"/>
    <xf numFmtId="3" fontId="0" fillId="35" borderId="7" xfId="0" applyNumberFormat="1" applyFill="1" applyBorder="1"/>
    <xf numFmtId="3" fontId="0" fillId="36" borderId="7" xfId="0" applyNumberFormat="1" applyFill="1" applyBorder="1"/>
    <xf numFmtId="3" fontId="0" fillId="37" borderId="7" xfId="0" applyNumberFormat="1" applyFill="1" applyBorder="1"/>
    <xf numFmtId="3" fontId="0" fillId="38" borderId="7" xfId="0" applyNumberFormat="1" applyFill="1" applyBorder="1"/>
    <xf numFmtId="3" fontId="0" fillId="39" borderId="7" xfId="0" applyNumberFormat="1" applyFill="1" applyBorder="1"/>
    <xf numFmtId="3" fontId="1" fillId="34" borderId="7" xfId="13" applyNumberFormat="1" applyFill="1" applyBorder="1"/>
    <xf numFmtId="3" fontId="1" fillId="34" borderId="7" xfId="13" applyNumberFormat="1" applyFont="1" applyFill="1" applyBorder="1"/>
    <xf numFmtId="3" fontId="1" fillId="34" borderId="21" xfId="13" applyNumberFormat="1" applyFill="1" applyBorder="1"/>
    <xf numFmtId="0" fontId="1" fillId="34" borderId="21" xfId="13" applyFill="1" applyBorder="1"/>
    <xf numFmtId="3" fontId="1" fillId="35" borderId="7" xfId="13" applyNumberFormat="1" applyFill="1" applyBorder="1"/>
    <xf numFmtId="3" fontId="1" fillId="35" borderId="21" xfId="13" applyNumberFormat="1" applyFill="1" applyBorder="1"/>
    <xf numFmtId="3" fontId="1" fillId="36" borderId="7" xfId="13" applyNumberFormat="1" applyFill="1" applyBorder="1"/>
    <xf numFmtId="9" fontId="1" fillId="36" borderId="7" xfId="13" applyNumberFormat="1" applyFill="1" applyBorder="1"/>
    <xf numFmtId="3" fontId="1" fillId="36" borderId="21" xfId="13" applyNumberFormat="1" applyFill="1" applyBorder="1"/>
    <xf numFmtId="9" fontId="1" fillId="36" borderId="21" xfId="13" applyNumberFormat="1" applyFill="1" applyBorder="1"/>
    <xf numFmtId="3" fontId="3" fillId="37" borderId="7" xfId="3" applyNumberFormat="1" applyFill="1" applyBorder="1"/>
    <xf numFmtId="3" fontId="3" fillId="37" borderId="21" xfId="3" applyNumberFormat="1" applyFill="1" applyBorder="1"/>
    <xf numFmtId="3" fontId="3" fillId="38" borderId="7" xfId="3" applyNumberFormat="1" applyFill="1" applyBorder="1"/>
    <xf numFmtId="3" fontId="3" fillId="38" borderId="21" xfId="3" applyNumberFormat="1" applyFill="1" applyBorder="1"/>
    <xf numFmtId="10" fontId="3" fillId="39" borderId="7" xfId="3" applyNumberFormat="1" applyFill="1" applyBorder="1"/>
    <xf numFmtId="3" fontId="3" fillId="39" borderId="7" xfId="3" applyNumberFormat="1" applyFill="1" applyBorder="1"/>
    <xf numFmtId="10" fontId="3" fillId="39" borderId="21" xfId="3" applyNumberFormat="1" applyFill="1" applyBorder="1"/>
    <xf numFmtId="3" fontId="3" fillId="39" borderId="21" xfId="3" applyNumberFormat="1" applyFill="1" applyBorder="1"/>
    <xf numFmtId="3" fontId="1" fillId="40" borderId="7" xfId="13" applyNumberFormat="1" applyFill="1" applyBorder="1"/>
    <xf numFmtId="3" fontId="1" fillId="40" borderId="10" xfId="13" applyNumberFormat="1" applyFill="1" applyBorder="1"/>
    <xf numFmtId="3" fontId="1" fillId="40" borderId="21" xfId="13" applyNumberFormat="1" applyFill="1" applyBorder="1"/>
    <xf numFmtId="3" fontId="1" fillId="40" borderId="22" xfId="13" applyNumberFormat="1" applyFill="1" applyBorder="1"/>
    <xf numFmtId="0" fontId="0" fillId="33" borderId="0" xfId="0" applyFill="1"/>
    <xf numFmtId="167" fontId="0" fillId="0" borderId="43" xfId="1" applyNumberFormat="1" applyFont="1" applyBorder="1"/>
    <xf numFmtId="167" fontId="0" fillId="0" borderId="44" xfId="1" applyNumberFormat="1" applyFont="1" applyBorder="1"/>
    <xf numFmtId="167" fontId="0" fillId="0" borderId="45" xfId="1" applyNumberFormat="1" applyFont="1" applyBorder="1"/>
    <xf numFmtId="167" fontId="0" fillId="0" borderId="46" xfId="1" applyNumberFormat="1" applyFont="1" applyBorder="1"/>
    <xf numFmtId="167" fontId="0" fillId="0" borderId="47" xfId="1" applyNumberFormat="1" applyFont="1" applyBorder="1"/>
    <xf numFmtId="167" fontId="23" fillId="0" borderId="48" xfId="1" applyNumberFormat="1" applyFont="1" applyBorder="1" applyAlignment="1">
      <alignment horizontal="center" vertical="center" wrapText="1"/>
    </xf>
    <xf numFmtId="167" fontId="23" fillId="0" borderId="49" xfId="1" applyNumberFormat="1" applyFont="1" applyBorder="1" applyAlignment="1">
      <alignment horizontal="center" vertical="center" wrapText="1"/>
    </xf>
    <xf numFmtId="167" fontId="23" fillId="0" borderId="50" xfId="1" applyNumberFormat="1" applyFont="1" applyBorder="1" applyAlignment="1">
      <alignment horizontal="center" vertical="center" wrapText="1"/>
    </xf>
    <xf numFmtId="167" fontId="23" fillId="0" borderId="42" xfId="1" applyNumberFormat="1" applyFont="1" applyBorder="1" applyAlignment="1">
      <alignment horizontal="center" vertical="center" wrapText="1"/>
    </xf>
    <xf numFmtId="167" fontId="0" fillId="0" borderId="51" xfId="1" applyNumberFormat="1" applyFont="1" applyBorder="1"/>
    <xf numFmtId="167" fontId="0" fillId="0" borderId="52" xfId="1" applyNumberFormat="1" applyFont="1" applyBorder="1"/>
    <xf numFmtId="167" fontId="0" fillId="0" borderId="53" xfId="1" applyNumberFormat="1" applyFont="1" applyBorder="1"/>
    <xf numFmtId="0" fontId="23" fillId="0" borderId="0" xfId="3" applyFont="1"/>
    <xf numFmtId="0" fontId="23" fillId="0" borderId="14" xfId="3" applyFont="1" applyBorder="1"/>
    <xf numFmtId="0" fontId="23" fillId="0" borderId="23" xfId="3" applyFont="1" applyBorder="1"/>
    <xf numFmtId="0" fontId="23" fillId="0" borderId="7" xfId="3" applyFont="1" applyBorder="1" applyAlignment="1">
      <alignment horizontal="center"/>
    </xf>
    <xf numFmtId="0" fontId="23" fillId="0" borderId="7" xfId="3" applyFont="1" applyFill="1" applyBorder="1" applyAlignment="1">
      <alignment horizontal="center"/>
    </xf>
    <xf numFmtId="0" fontId="23" fillId="0" borderId="10" xfId="3" applyFont="1" applyBorder="1" applyAlignment="1">
      <alignment horizontal="center"/>
    </xf>
    <xf numFmtId="3" fontId="23" fillId="0" borderId="7" xfId="3" applyNumberFormat="1" applyFont="1" applyBorder="1"/>
    <xf numFmtId="3" fontId="23" fillId="0" borderId="10" xfId="3" applyNumberFormat="1" applyFont="1" applyBorder="1"/>
    <xf numFmtId="0" fontId="23" fillId="0" borderId="15" xfId="3" applyFont="1" applyFill="1" applyBorder="1"/>
    <xf numFmtId="3" fontId="23" fillId="0" borderId="21" xfId="3" applyNumberFormat="1" applyFont="1" applyBorder="1"/>
    <xf numFmtId="3" fontId="23" fillId="0" borderId="22" xfId="3" applyNumberFormat="1" applyFont="1" applyBorder="1"/>
    <xf numFmtId="0" fontId="23" fillId="0" borderId="0" xfId="3" applyFont="1" applyFill="1" applyBorder="1"/>
    <xf numFmtId="0" fontId="23" fillId="0" borderId="0" xfId="3" applyFont="1" applyBorder="1"/>
    <xf numFmtId="0" fontId="23" fillId="0" borderId="15" xfId="3" applyFont="1" applyBorder="1"/>
    <xf numFmtId="0" fontId="23" fillId="0" borderId="7" xfId="3" applyFont="1" applyBorder="1"/>
    <xf numFmtId="0" fontId="23" fillId="0" borderId="10" xfId="3" applyFont="1" applyBorder="1"/>
    <xf numFmtId="0" fontId="23" fillId="0" borderId="7" xfId="3" applyFont="1" applyBorder="1" applyAlignment="1">
      <alignment horizontal="center" wrapText="1"/>
    </xf>
    <xf numFmtId="0" fontId="23" fillId="0" borderId="10" xfId="3" applyFont="1" applyBorder="1" applyAlignment="1">
      <alignment horizontal="center" wrapText="1"/>
    </xf>
    <xf numFmtId="0" fontId="23" fillId="0" borderId="10" xfId="3" applyFont="1" applyBorder="1" applyAlignment="1">
      <alignment wrapText="1"/>
    </xf>
    <xf numFmtId="0" fontId="23" fillId="0" borderId="22" xfId="3" applyFont="1" applyBorder="1"/>
    <xf numFmtId="0" fontId="0" fillId="0" borderId="0" xfId="0" applyFont="1"/>
    <xf numFmtId="0" fontId="2" fillId="0" borderId="7" xfId="0" applyFont="1" applyBorder="1" applyAlignment="1">
      <alignment horizontal="left"/>
    </xf>
    <xf numFmtId="164" fontId="2" fillId="0" borderId="7" xfId="0" applyNumberFormat="1" applyFont="1" applyBorder="1" applyAlignment="1">
      <alignment horizontal="left" wrapText="1"/>
    </xf>
    <xf numFmtId="49" fontId="2" fillId="0" borderId="7" xfId="0" applyNumberFormat="1" applyFont="1" applyBorder="1" applyAlignment="1">
      <alignment wrapText="1"/>
    </xf>
    <xf numFmtId="0" fontId="2" fillId="0" borderId="7" xfId="0" applyFont="1" applyBorder="1" applyAlignment="1">
      <alignment horizontal="left" wrapText="1"/>
    </xf>
    <xf numFmtId="3" fontId="2" fillId="0" borderId="7" xfId="0" applyNumberFormat="1" applyFont="1" applyBorder="1" applyAlignment="1">
      <alignment horizontal="left" wrapText="1"/>
    </xf>
    <xf numFmtId="165" fontId="2" fillId="0" borderId="7" xfId="0" applyNumberFormat="1" applyFont="1" applyBorder="1" applyAlignment="1">
      <alignment horizontal="left" wrapText="1"/>
    </xf>
    <xf numFmtId="166" fontId="2" fillId="0" borderId="7" xfId="0" applyNumberFormat="1" applyFont="1" applyBorder="1" applyAlignment="1">
      <alignment horizontal="left" wrapText="1"/>
    </xf>
    <xf numFmtId="0" fontId="23" fillId="0" borderId="0" xfId="4" quotePrefix="1" applyNumberFormat="1" applyFont="1"/>
    <xf numFmtId="3" fontId="0" fillId="0" borderId="0" xfId="1" applyNumberFormat="1" applyFont="1"/>
    <xf numFmtId="0" fontId="23" fillId="0" borderId="0" xfId="4" applyFont="1"/>
    <xf numFmtId="43" fontId="0" fillId="0" borderId="0" xfId="1" applyFont="1"/>
    <xf numFmtId="3" fontId="0" fillId="0" borderId="0" xfId="0" applyNumberFormat="1" applyFont="1"/>
    <xf numFmtId="0" fontId="23" fillId="0" borderId="0" xfId="6" applyFont="1"/>
    <xf numFmtId="3" fontId="23" fillId="0" borderId="0" xfId="7" applyNumberFormat="1" applyFont="1"/>
    <xf numFmtId="0" fontId="23" fillId="0" borderId="0" xfId="7" applyFont="1"/>
    <xf numFmtId="0" fontId="23" fillId="0" borderId="0" xfId="6" applyFont="1" applyFill="1"/>
    <xf numFmtId="3" fontId="23" fillId="0" borderId="8" xfId="7" applyNumberFormat="1" applyFont="1" applyBorder="1"/>
    <xf numFmtId="3" fontId="28" fillId="0" borderId="0" xfId="8" applyNumberFormat="1" applyFont="1" applyFill="1" applyBorder="1" applyAlignment="1">
      <alignment horizontal="right" wrapText="1"/>
    </xf>
    <xf numFmtId="0" fontId="2" fillId="0" borderId="7" xfId="7" applyFont="1" applyBorder="1" applyAlignment="1">
      <alignment horizontal="left"/>
    </xf>
    <xf numFmtId="164" fontId="2" fillId="0" borderId="7" xfId="7" applyNumberFormat="1" applyFont="1" applyBorder="1" applyAlignment="1">
      <alignment horizontal="left" wrapText="1"/>
    </xf>
    <xf numFmtId="49" fontId="2" fillId="0" borderId="7" xfId="7" applyNumberFormat="1" applyFont="1" applyBorder="1" applyAlignment="1">
      <alignment wrapText="1"/>
    </xf>
    <xf numFmtId="0" fontId="2" fillId="0" borderId="7" xfId="7" applyFont="1" applyBorder="1" applyAlignment="1">
      <alignment horizontal="left" wrapText="1"/>
    </xf>
    <xf numFmtId="165" fontId="2" fillId="0" borderId="7" xfId="7" applyNumberFormat="1" applyFont="1" applyBorder="1" applyAlignment="1">
      <alignment horizontal="left" wrapText="1"/>
    </xf>
    <xf numFmtId="166" fontId="2" fillId="0" borderId="7" xfId="7" applyNumberFormat="1" applyFont="1" applyBorder="1" applyAlignment="1">
      <alignment horizontal="left" wrapText="1"/>
    </xf>
    <xf numFmtId="0" fontId="1" fillId="0" borderId="0" xfId="0" applyFont="1"/>
    <xf numFmtId="0" fontId="23" fillId="0" borderId="0" xfId="7" applyFont="1" applyBorder="1" applyAlignment="1"/>
    <xf numFmtId="0" fontId="28" fillId="0" borderId="0" xfId="9" applyNumberFormat="1" applyFont="1" applyFill="1" applyBorder="1" applyAlignment="1" applyProtection="1">
      <alignment horizontal="left"/>
    </xf>
    <xf numFmtId="0" fontId="28" fillId="0" borderId="0" xfId="9" applyNumberFormat="1" applyFont="1" applyFill="1" applyBorder="1" applyAlignment="1" applyProtection="1">
      <alignment horizontal="right"/>
    </xf>
    <xf numFmtId="3" fontId="28" fillId="0" borderId="0" xfId="10" applyNumberFormat="1" applyFont="1" applyFill="1" applyBorder="1" applyAlignment="1" applyProtection="1">
      <alignment horizontal="right"/>
    </xf>
    <xf numFmtId="0" fontId="23" fillId="0" borderId="0" xfId="11" applyFont="1" applyBorder="1" applyAlignment="1"/>
    <xf numFmtId="3" fontId="23" fillId="0" borderId="0" xfId="11" applyNumberFormat="1" applyFont="1" applyBorder="1" applyAlignment="1"/>
    <xf numFmtId="0" fontId="23" fillId="0" borderId="0" xfId="6" applyFont="1" applyBorder="1" applyAlignment="1"/>
    <xf numFmtId="0" fontId="23" fillId="0" borderId="0" xfId="7" applyFont="1" applyFill="1" applyBorder="1" applyAlignment="1"/>
    <xf numFmtId="3" fontId="28" fillId="0" borderId="0" xfId="12" applyNumberFormat="1" applyFont="1" applyFill="1" applyBorder="1" applyAlignment="1" applyProtection="1">
      <alignment horizontal="right"/>
    </xf>
    <xf numFmtId="3" fontId="23" fillId="0" borderId="0" xfId="6" applyNumberFormat="1" applyFont="1" applyBorder="1" applyAlignment="1"/>
    <xf numFmtId="0" fontId="23" fillId="0" borderId="0" xfId="6" applyFont="1" applyFill="1" applyBorder="1" applyAlignment="1"/>
    <xf numFmtId="0" fontId="28" fillId="0" borderId="0" xfId="12" applyFont="1" applyFill="1" applyBorder="1" applyAlignment="1"/>
    <xf numFmtId="43" fontId="23" fillId="0" borderId="0" xfId="1" applyFont="1" applyBorder="1" applyAlignment="1"/>
    <xf numFmtId="3" fontId="28" fillId="0" borderId="0" xfId="12" applyNumberFormat="1" applyFont="1" applyBorder="1" applyAlignment="1"/>
    <xf numFmtId="0" fontId="23" fillId="0" borderId="0" xfId="11" applyFont="1" applyFill="1" applyBorder="1" applyAlignment="1"/>
    <xf numFmtId="0" fontId="2" fillId="0" borderId="7" xfId="9" applyFont="1" applyBorder="1" applyAlignment="1">
      <alignment horizontal="left"/>
    </xf>
    <xf numFmtId="164" fontId="2" fillId="0" borderId="7" xfId="9" applyNumberFormat="1" applyFont="1" applyBorder="1" applyAlignment="1">
      <alignment horizontal="left" wrapText="1"/>
    </xf>
    <xf numFmtId="49" fontId="2" fillId="0" borderId="7" xfId="9" applyNumberFormat="1" applyFont="1" applyBorder="1" applyAlignment="1">
      <alignment wrapText="1"/>
    </xf>
    <xf numFmtId="0" fontId="2" fillId="0" borderId="7" xfId="9" applyFont="1" applyBorder="1" applyAlignment="1">
      <alignment horizontal="left" wrapText="1"/>
    </xf>
    <xf numFmtId="2" fontId="2" fillId="0" borderId="7" xfId="0" applyNumberFormat="1" applyFont="1" applyBorder="1" applyAlignment="1">
      <alignment horizontal="left" wrapText="1"/>
    </xf>
    <xf numFmtId="0" fontId="1" fillId="0" borderId="0" xfId="9" applyFont="1" applyBorder="1"/>
    <xf numFmtId="49" fontId="1" fillId="0" borderId="0" xfId="9" applyNumberFormat="1" applyFont="1" applyBorder="1" applyAlignment="1"/>
    <xf numFmtId="164" fontId="1" fillId="0" borderId="0" xfId="9" applyNumberFormat="1" applyFont="1" applyBorder="1"/>
    <xf numFmtId="3" fontId="1" fillId="0" borderId="0" xfId="9" applyNumberFormat="1" applyFont="1" applyBorder="1"/>
    <xf numFmtId="165" fontId="1" fillId="0" borderId="0" xfId="0" applyNumberFormat="1" applyFont="1" applyBorder="1"/>
    <xf numFmtId="3" fontId="1" fillId="0" borderId="0" xfId="0" applyNumberFormat="1" applyFont="1" applyBorder="1"/>
    <xf numFmtId="0" fontId="1" fillId="0" borderId="0" xfId="0" applyFont="1" applyBorder="1"/>
    <xf numFmtId="165" fontId="1" fillId="0" borderId="0" xfId="9" applyNumberFormat="1" applyFont="1" applyBorder="1"/>
    <xf numFmtId="167" fontId="1" fillId="0" borderId="0" xfId="1" applyNumberFormat="1" applyFont="1" applyBorder="1"/>
    <xf numFmtId="43" fontId="1" fillId="0" borderId="0" xfId="1" applyFont="1" applyBorder="1"/>
    <xf numFmtId="167" fontId="29" fillId="0" borderId="0" xfId="1" applyNumberFormat="1" applyFont="1"/>
    <xf numFmtId="0" fontId="0" fillId="0" borderId="0" xfId="9" applyFont="1" applyBorder="1"/>
    <xf numFmtId="49" fontId="0" fillId="0" borderId="0" xfId="9" applyNumberFormat="1" applyFont="1" applyBorder="1" applyAlignment="1"/>
    <xf numFmtId="165" fontId="0" fillId="0" borderId="0" xfId="0" applyNumberFormat="1" applyFont="1"/>
    <xf numFmtId="3" fontId="0" fillId="0" borderId="0" xfId="0" applyNumberFormat="1" applyFont="1" applyBorder="1"/>
    <xf numFmtId="0" fontId="0" fillId="0" borderId="0" xfId="0" applyFont="1" applyBorder="1" applyAlignment="1"/>
    <xf numFmtId="0" fontId="0" fillId="0" borderId="0" xfId="9" applyFont="1" applyBorder="1" applyAlignment="1"/>
    <xf numFmtId="164" fontId="0" fillId="0" borderId="0" xfId="0" applyNumberFormat="1" applyFont="1" applyBorder="1" applyAlignment="1"/>
    <xf numFmtId="3" fontId="28" fillId="0" borderId="0" xfId="0" applyNumberFormat="1" applyFont="1" applyFill="1" applyBorder="1" applyAlignment="1" applyProtection="1">
      <alignment horizontal="right"/>
    </xf>
    <xf numFmtId="2" fontId="0" fillId="0" borderId="0" xfId="0" applyNumberFormat="1" applyFont="1" applyBorder="1" applyAlignment="1"/>
    <xf numFmtId="167" fontId="0" fillId="0" borderId="0" xfId="1" applyNumberFormat="1" applyFont="1" applyBorder="1" applyAlignment="1"/>
    <xf numFmtId="3" fontId="0" fillId="0" borderId="0" xfId="0" applyNumberFormat="1" applyFont="1" applyBorder="1" applyAlignment="1"/>
    <xf numFmtId="167" fontId="28" fillId="0" borderId="0" xfId="1" applyNumberFormat="1" applyFont="1" applyBorder="1" applyAlignment="1"/>
    <xf numFmtId="3" fontId="0" fillId="0" borderId="0" xfId="0" applyNumberFormat="1" applyFont="1" applyFill="1" applyBorder="1" applyAlignment="1"/>
    <xf numFmtId="0" fontId="26" fillId="0" borderId="0" xfId="60" applyAlignment="1">
      <alignment horizontal="left" vertical="center" readingOrder="1"/>
    </xf>
    <xf numFmtId="0" fontId="2" fillId="34" borderId="18" xfId="13" applyFont="1" applyFill="1" applyBorder="1" applyAlignment="1">
      <alignment horizontal="center"/>
    </xf>
    <xf numFmtId="3" fontId="2" fillId="36" borderId="18" xfId="13" applyNumberFormat="1" applyFont="1" applyFill="1" applyBorder="1" applyAlignment="1">
      <alignment horizontal="center"/>
    </xf>
    <xf numFmtId="3" fontId="2" fillId="38" borderId="18" xfId="3" applyNumberFormat="1" applyFont="1" applyFill="1" applyBorder="1" applyAlignment="1">
      <alignment horizontal="center"/>
    </xf>
    <xf numFmtId="0" fontId="2" fillId="39" borderId="18" xfId="3" applyFont="1" applyFill="1" applyBorder="1" applyAlignment="1">
      <alignment horizontal="center"/>
    </xf>
    <xf numFmtId="0" fontId="2" fillId="40" borderId="18" xfId="3" applyFont="1" applyFill="1" applyBorder="1" applyAlignment="1">
      <alignment horizontal="center"/>
    </xf>
    <xf numFmtId="0" fontId="2" fillId="40" borderId="19" xfId="3" applyFont="1" applyFill="1" applyBorder="1" applyAlignment="1">
      <alignment horizontal="center"/>
    </xf>
    <xf numFmtId="0" fontId="23" fillId="0" borderId="18" xfId="3" applyFont="1" applyBorder="1" applyAlignment="1">
      <alignment horizontal="center"/>
    </xf>
    <xf numFmtId="0" fontId="23" fillId="0" borderId="19" xfId="3" applyFont="1" applyBorder="1" applyAlignment="1">
      <alignment horizontal="center"/>
    </xf>
    <xf numFmtId="0" fontId="23" fillId="0" borderId="25" xfId="3" applyFont="1" applyBorder="1" applyAlignment="1">
      <alignment horizontal="center"/>
    </xf>
    <xf numFmtId="0" fontId="23" fillId="0" borderId="26" xfId="3" applyFont="1" applyBorder="1" applyAlignment="1">
      <alignment horizontal="center"/>
    </xf>
    <xf numFmtId="0" fontId="23" fillId="0" borderId="27" xfId="3"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9" xfId="0" applyBorder="1" applyAlignment="1">
      <alignment horizontal="right"/>
    </xf>
    <xf numFmtId="0" fontId="0" fillId="0" borderId="0" xfId="0" applyBorder="1" applyAlignment="1">
      <alignment horizontal="right"/>
    </xf>
    <xf numFmtId="0" fontId="0" fillId="0" borderId="41" xfId="0" applyBorder="1" applyAlignment="1">
      <alignment horizontal="right" wrapText="1"/>
    </xf>
    <xf numFmtId="0" fontId="0" fillId="0" borderId="12" xfId="0" applyBorder="1" applyAlignment="1">
      <alignment horizontal="right" wrapText="1"/>
    </xf>
  </cellXfs>
  <cellStyles count="61">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Comma" xfId="1" builtinId="3"/>
    <cellStyle name="Comma 2" xfId="14"/>
    <cellStyle name="Comma 2 2" xfId="56"/>
    <cellStyle name="Explanatory Text 2" xfId="42"/>
    <cellStyle name="Good 2" xfId="43"/>
    <cellStyle name="Hyperlink" xfId="60" builtinId="8"/>
    <cellStyle name="Input 2" xfId="44"/>
    <cellStyle name="Linked Cell 2" xfId="45"/>
    <cellStyle name="Neutral 2" xfId="46"/>
    <cellStyle name="Normal" xfId="0" builtinId="0"/>
    <cellStyle name="Normal 10" xfId="47"/>
    <cellStyle name="Normal 10 2" xfId="57"/>
    <cellStyle name="Normal 2" xfId="3"/>
    <cellStyle name="Normal 2 2" xfId="7"/>
    <cellStyle name="Normal 2 2 2" xfId="55"/>
    <cellStyle name="Normal 2 3" xfId="58"/>
    <cellStyle name="Normal 3" xfId="48"/>
    <cellStyle name="Normal 3 2" xfId="6"/>
    <cellStyle name="Normal 3 2 2" xfId="49"/>
    <cellStyle name="Normal 3 2 3" xfId="11"/>
    <cellStyle name="Normal 3 3" xfId="9"/>
    <cellStyle name="Normal 3 4" xfId="5"/>
    <cellStyle name="Normal 4" xfId="10"/>
    <cellStyle name="Normal 5" xfId="12"/>
    <cellStyle name="Normal 6" xfId="13"/>
    <cellStyle name="Normal_eGRID method exist affected" xfId="8"/>
    <cellStyle name="Normal_Sheet1 2" xfId="4"/>
    <cellStyle name="Note 2" xfId="50"/>
    <cellStyle name="Output 2" xfId="51"/>
    <cellStyle name="Percent" xfId="2" builtinId="5"/>
    <cellStyle name="Percent 2" xfId="59"/>
    <cellStyle name="Percent 26" xfId="52"/>
    <cellStyle name="Total 2" xfId="53"/>
    <cellStyle name="Warning Text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Generation (MWh)</a:t>
            </a:r>
          </a:p>
        </c:rich>
      </c:tx>
      <c:overlay val="0"/>
    </c:title>
    <c:autoTitleDeleted val="0"/>
    <c:plotArea>
      <c:layout/>
      <c:areaChart>
        <c:grouping val="stacked"/>
        <c:varyColors val="0"/>
        <c:ser>
          <c:idx val="0"/>
          <c:order val="0"/>
          <c:tx>
            <c:strRef>
              <c:f>'Base Year Summary (slides 9)'!$A$4</c:f>
              <c:strCache>
                <c:ptCount val="1"/>
                <c:pt idx="0">
                  <c:v>COAL</c:v>
                </c:pt>
              </c:strCache>
            </c:strRef>
          </c:tx>
          <c:cat>
            <c:numRef>
              <c:f>'Base Year Summary (slides 9)'!$B$3:$F$3</c:f>
              <c:numCache>
                <c:formatCode>General</c:formatCode>
                <c:ptCount val="5"/>
                <c:pt idx="0">
                  <c:v>2009</c:v>
                </c:pt>
                <c:pt idx="1">
                  <c:v>2010</c:v>
                </c:pt>
                <c:pt idx="2">
                  <c:v>2011</c:v>
                </c:pt>
                <c:pt idx="3">
                  <c:v>2012</c:v>
                </c:pt>
                <c:pt idx="4">
                  <c:v>2013</c:v>
                </c:pt>
              </c:numCache>
            </c:numRef>
          </c:cat>
          <c:val>
            <c:numRef>
              <c:f>'Base Year Summary (slides 9)'!$B$4:$F$4</c:f>
              <c:numCache>
                <c:formatCode>#,##0</c:formatCode>
                <c:ptCount val="5"/>
                <c:pt idx="0">
                  <c:v>25021209</c:v>
                </c:pt>
                <c:pt idx="1">
                  <c:v>28072484</c:v>
                </c:pt>
                <c:pt idx="2">
                  <c:v>29363619</c:v>
                </c:pt>
                <c:pt idx="3">
                  <c:v>28378831</c:v>
                </c:pt>
                <c:pt idx="4">
                  <c:v>31859866</c:v>
                </c:pt>
              </c:numCache>
            </c:numRef>
          </c:val>
        </c:ser>
        <c:ser>
          <c:idx val="1"/>
          <c:order val="1"/>
          <c:tx>
            <c:strRef>
              <c:f>'Base Year Summary (slides 9)'!$A$5</c:f>
              <c:strCache>
                <c:ptCount val="1"/>
                <c:pt idx="0">
                  <c:v>NGCC</c:v>
                </c:pt>
              </c:strCache>
            </c:strRef>
          </c:tx>
          <c:cat>
            <c:numRef>
              <c:f>'Base Year Summary (slides 9)'!$B$3:$F$3</c:f>
              <c:numCache>
                <c:formatCode>General</c:formatCode>
                <c:ptCount val="5"/>
                <c:pt idx="0">
                  <c:v>2009</c:v>
                </c:pt>
                <c:pt idx="1">
                  <c:v>2010</c:v>
                </c:pt>
                <c:pt idx="2">
                  <c:v>2011</c:v>
                </c:pt>
                <c:pt idx="3">
                  <c:v>2012</c:v>
                </c:pt>
                <c:pt idx="4">
                  <c:v>2013</c:v>
                </c:pt>
              </c:numCache>
            </c:numRef>
          </c:cat>
          <c:val>
            <c:numRef>
              <c:f>'Base Year Summary (slides 9)'!$B$5:$F$5</c:f>
              <c:numCache>
                <c:formatCode>#,##0</c:formatCode>
                <c:ptCount val="5"/>
                <c:pt idx="0">
                  <c:v>10603900.000000002</c:v>
                </c:pt>
                <c:pt idx="1">
                  <c:v>11438365</c:v>
                </c:pt>
                <c:pt idx="2">
                  <c:v>11688163</c:v>
                </c:pt>
                <c:pt idx="3">
                  <c:v>15651184.998999996</c:v>
                </c:pt>
                <c:pt idx="4">
                  <c:v>11094670.997000001</c:v>
                </c:pt>
              </c:numCache>
            </c:numRef>
          </c:val>
        </c:ser>
        <c:ser>
          <c:idx val="2"/>
          <c:order val="2"/>
          <c:tx>
            <c:strRef>
              <c:f>'Base Year Summary (slides 9)'!$A$6</c:f>
              <c:strCache>
                <c:ptCount val="1"/>
                <c:pt idx="0">
                  <c:v>OGST</c:v>
                </c:pt>
              </c:strCache>
            </c:strRef>
          </c:tx>
          <c:cat>
            <c:numRef>
              <c:f>'Base Year Summary (slides 9)'!$B$3:$F$3</c:f>
              <c:numCache>
                <c:formatCode>General</c:formatCode>
                <c:ptCount val="5"/>
                <c:pt idx="0">
                  <c:v>2009</c:v>
                </c:pt>
                <c:pt idx="1">
                  <c:v>2010</c:v>
                </c:pt>
                <c:pt idx="2">
                  <c:v>2011</c:v>
                </c:pt>
                <c:pt idx="3">
                  <c:v>2012</c:v>
                </c:pt>
                <c:pt idx="4">
                  <c:v>2013</c:v>
                </c:pt>
              </c:numCache>
            </c:numRef>
          </c:cat>
          <c:val>
            <c:numRef>
              <c:f>'Base Year Summary (slides 9)'!$B$6:$F$6</c:f>
              <c:numCache>
                <c:formatCode>#,##0</c:formatCode>
                <c:ptCount val="5"/>
                <c:pt idx="0">
                  <c:v>355809</c:v>
                </c:pt>
                <c:pt idx="1">
                  <c:v>507363</c:v>
                </c:pt>
                <c:pt idx="2">
                  <c:v>537714</c:v>
                </c:pt>
                <c:pt idx="3">
                  <c:v>860469.77339999995</c:v>
                </c:pt>
                <c:pt idx="4">
                  <c:v>704937</c:v>
                </c:pt>
              </c:numCache>
            </c:numRef>
          </c:val>
        </c:ser>
        <c:dLbls>
          <c:showLegendKey val="0"/>
          <c:showVal val="0"/>
          <c:showCatName val="0"/>
          <c:showSerName val="0"/>
          <c:showPercent val="0"/>
          <c:showBubbleSize val="0"/>
        </c:dLbls>
        <c:axId val="172483712"/>
        <c:axId val="172485248"/>
      </c:areaChart>
      <c:catAx>
        <c:axId val="172483712"/>
        <c:scaling>
          <c:orientation val="minMax"/>
        </c:scaling>
        <c:delete val="0"/>
        <c:axPos val="b"/>
        <c:numFmt formatCode="General" sourceLinked="1"/>
        <c:majorTickMark val="none"/>
        <c:minorTickMark val="none"/>
        <c:tickLblPos val="nextTo"/>
        <c:crossAx val="172485248"/>
        <c:crosses val="autoZero"/>
        <c:auto val="1"/>
        <c:lblAlgn val="ctr"/>
        <c:lblOffset val="100"/>
        <c:noMultiLvlLbl val="0"/>
      </c:catAx>
      <c:valAx>
        <c:axId val="172485248"/>
        <c:scaling>
          <c:orientation val="minMax"/>
        </c:scaling>
        <c:delete val="0"/>
        <c:axPos val="l"/>
        <c:majorGridlines/>
        <c:numFmt formatCode="#,##0" sourceLinked="1"/>
        <c:majorTickMark val="none"/>
        <c:minorTickMark val="none"/>
        <c:tickLblPos val="nextTo"/>
        <c:crossAx val="172483712"/>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Emission Rates </a:t>
            </a:r>
          </a:p>
          <a:p>
            <a:pPr>
              <a:defRPr/>
            </a:pPr>
            <a:r>
              <a:rPr lang="en-US"/>
              <a:t>(lb CO2/MWh)</a:t>
            </a:r>
          </a:p>
        </c:rich>
      </c:tx>
      <c:overlay val="0"/>
    </c:title>
    <c:autoTitleDeleted val="0"/>
    <c:plotArea>
      <c:layout/>
      <c:barChart>
        <c:barDir val="col"/>
        <c:grouping val="clustered"/>
        <c:varyColors val="0"/>
        <c:ser>
          <c:idx val="0"/>
          <c:order val="0"/>
          <c:tx>
            <c:strRef>
              <c:f>'Base Year Summary (slides 9)'!$A$24</c:f>
              <c:strCache>
                <c:ptCount val="1"/>
                <c:pt idx="0">
                  <c:v>COAL</c:v>
                </c:pt>
              </c:strCache>
            </c:strRef>
          </c:tx>
          <c:invertIfNegative val="0"/>
          <c:cat>
            <c:numRef>
              <c:f>'Base Year Summary (slides 9)'!$B$23:$F$23</c:f>
              <c:numCache>
                <c:formatCode>General</c:formatCode>
                <c:ptCount val="5"/>
                <c:pt idx="0">
                  <c:v>2009</c:v>
                </c:pt>
                <c:pt idx="1">
                  <c:v>2010</c:v>
                </c:pt>
                <c:pt idx="2">
                  <c:v>2011</c:v>
                </c:pt>
                <c:pt idx="3">
                  <c:v>2012</c:v>
                </c:pt>
                <c:pt idx="4">
                  <c:v>2013</c:v>
                </c:pt>
              </c:numCache>
            </c:numRef>
          </c:cat>
          <c:val>
            <c:numRef>
              <c:f>'Base Year Summary (slides 9)'!$B$24:$F$24</c:f>
              <c:numCache>
                <c:formatCode>#,##0</c:formatCode>
                <c:ptCount val="5"/>
                <c:pt idx="0">
                  <c:v>2145.5945496478607</c:v>
                </c:pt>
                <c:pt idx="1">
                  <c:v>2158.6811732798569</c:v>
                </c:pt>
                <c:pt idx="2">
                  <c:v>2203.7341931183619</c:v>
                </c:pt>
                <c:pt idx="3">
                  <c:v>2276.167165870927</c:v>
                </c:pt>
                <c:pt idx="4">
                  <c:v>2186.2215394754016</c:v>
                </c:pt>
              </c:numCache>
            </c:numRef>
          </c:val>
        </c:ser>
        <c:ser>
          <c:idx val="1"/>
          <c:order val="1"/>
          <c:tx>
            <c:strRef>
              <c:f>'Base Year Summary (slides 9)'!$A$25</c:f>
              <c:strCache>
                <c:ptCount val="1"/>
                <c:pt idx="0">
                  <c:v>NGCC</c:v>
                </c:pt>
              </c:strCache>
            </c:strRef>
          </c:tx>
          <c:invertIfNegative val="0"/>
          <c:cat>
            <c:numRef>
              <c:f>'Base Year Summary (slides 9)'!$B$23:$F$23</c:f>
              <c:numCache>
                <c:formatCode>General</c:formatCode>
                <c:ptCount val="5"/>
                <c:pt idx="0">
                  <c:v>2009</c:v>
                </c:pt>
                <c:pt idx="1">
                  <c:v>2010</c:v>
                </c:pt>
                <c:pt idx="2">
                  <c:v>2011</c:v>
                </c:pt>
                <c:pt idx="3">
                  <c:v>2012</c:v>
                </c:pt>
                <c:pt idx="4">
                  <c:v>2013</c:v>
                </c:pt>
              </c:numCache>
            </c:numRef>
          </c:cat>
          <c:val>
            <c:numRef>
              <c:f>'Base Year Summary (slides 9)'!$B$25:$F$25</c:f>
              <c:numCache>
                <c:formatCode>#,##0</c:formatCode>
                <c:ptCount val="5"/>
                <c:pt idx="0">
                  <c:v>841.20922724693423</c:v>
                </c:pt>
                <c:pt idx="1">
                  <c:v>858.36995699163231</c:v>
                </c:pt>
                <c:pt idx="2">
                  <c:v>836.11107052629086</c:v>
                </c:pt>
                <c:pt idx="3">
                  <c:v>827.20611757389588</c:v>
                </c:pt>
                <c:pt idx="4">
                  <c:v>826.72198295087071</c:v>
                </c:pt>
              </c:numCache>
            </c:numRef>
          </c:val>
        </c:ser>
        <c:ser>
          <c:idx val="2"/>
          <c:order val="2"/>
          <c:tx>
            <c:strRef>
              <c:f>'Base Year Summary (slides 9)'!$A$26</c:f>
              <c:strCache>
                <c:ptCount val="1"/>
                <c:pt idx="0">
                  <c:v>OGST</c:v>
                </c:pt>
              </c:strCache>
            </c:strRef>
          </c:tx>
          <c:invertIfNegative val="0"/>
          <c:cat>
            <c:numRef>
              <c:f>'Base Year Summary (slides 9)'!$B$23:$F$23</c:f>
              <c:numCache>
                <c:formatCode>General</c:formatCode>
                <c:ptCount val="5"/>
                <c:pt idx="0">
                  <c:v>2009</c:v>
                </c:pt>
                <c:pt idx="1">
                  <c:v>2010</c:v>
                </c:pt>
                <c:pt idx="2">
                  <c:v>2011</c:v>
                </c:pt>
                <c:pt idx="3">
                  <c:v>2012</c:v>
                </c:pt>
                <c:pt idx="4">
                  <c:v>2013</c:v>
                </c:pt>
              </c:numCache>
            </c:numRef>
          </c:cat>
          <c:val>
            <c:numRef>
              <c:f>'Base Year Summary (slides 9)'!$B$26:$F$26</c:f>
              <c:numCache>
                <c:formatCode>#,##0</c:formatCode>
                <c:ptCount val="5"/>
                <c:pt idx="0">
                  <c:v>1492.7816637347587</c:v>
                </c:pt>
                <c:pt idx="1">
                  <c:v>1554.7876910002999</c:v>
                </c:pt>
                <c:pt idx="2">
                  <c:v>1504.7903978694994</c:v>
                </c:pt>
                <c:pt idx="3">
                  <c:v>1446.3623255112811</c:v>
                </c:pt>
                <c:pt idx="4">
                  <c:v>1450.5584016727737</c:v>
                </c:pt>
              </c:numCache>
            </c:numRef>
          </c:val>
        </c:ser>
        <c:dLbls>
          <c:showLegendKey val="0"/>
          <c:showVal val="0"/>
          <c:showCatName val="0"/>
          <c:showSerName val="0"/>
          <c:showPercent val="0"/>
          <c:showBubbleSize val="0"/>
        </c:dLbls>
        <c:gapWidth val="75"/>
        <c:overlap val="-25"/>
        <c:axId val="172921216"/>
        <c:axId val="172922752"/>
      </c:barChart>
      <c:catAx>
        <c:axId val="172921216"/>
        <c:scaling>
          <c:orientation val="minMax"/>
        </c:scaling>
        <c:delete val="0"/>
        <c:axPos val="b"/>
        <c:numFmt formatCode="General" sourceLinked="1"/>
        <c:majorTickMark val="none"/>
        <c:minorTickMark val="none"/>
        <c:tickLblPos val="nextTo"/>
        <c:crossAx val="172922752"/>
        <c:crosses val="autoZero"/>
        <c:auto val="1"/>
        <c:lblAlgn val="ctr"/>
        <c:lblOffset val="100"/>
        <c:noMultiLvlLbl val="0"/>
      </c:catAx>
      <c:valAx>
        <c:axId val="172922752"/>
        <c:scaling>
          <c:orientation val="minMax"/>
        </c:scaling>
        <c:delete val="0"/>
        <c:axPos val="l"/>
        <c:majorGridlines/>
        <c:numFmt formatCode="#,##0" sourceLinked="1"/>
        <c:majorTickMark val="none"/>
        <c:minorTickMark val="none"/>
        <c:tickLblPos val="nextTo"/>
        <c:spPr>
          <a:ln w="9525">
            <a:noFill/>
          </a:ln>
        </c:spPr>
        <c:crossAx val="17292121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9527</xdr:rowOff>
    </xdr:from>
    <xdr:to>
      <xdr:col>8</xdr:col>
      <xdr:colOff>419100</xdr:colOff>
      <xdr:row>23</xdr:row>
      <xdr:rowOff>1</xdr:rowOff>
    </xdr:to>
    <xdr:sp macro="" textlink="">
      <xdr:nvSpPr>
        <xdr:cNvPr id="2" name="TextBox 1"/>
        <xdr:cNvSpPr txBox="1"/>
      </xdr:nvSpPr>
      <xdr:spPr>
        <a:xfrm>
          <a:off x="0" y="9527"/>
          <a:ext cx="5676900" cy="4371974"/>
        </a:xfrm>
        <a:prstGeom prst="rect">
          <a:avLst/>
        </a:prstGeom>
        <a:solidFill>
          <a:sysClr val="window" lastClr="FFFFFF"/>
        </a:solid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The 2009 – 2013 eGRID Methodology ADEQ worksheets were created following the methodology laid out in EPA’s</a:t>
          </a:r>
          <a:r>
            <a:rPr lang="en-US" sz="1200" u="none">
              <a:solidFill>
                <a:schemeClr val="dk1"/>
              </a:solidFill>
              <a:effectLst/>
              <a:latin typeface="+mn-lt"/>
              <a:ea typeface="+mn-ea"/>
              <a:cs typeface="+mn-cs"/>
            </a:rPr>
            <a:t> "Description of Unit-Level Data using</a:t>
          </a:r>
          <a:r>
            <a:rPr lang="en-US" sz="1200" u="none" baseline="0">
              <a:solidFill>
                <a:schemeClr val="dk1"/>
              </a:solidFill>
              <a:effectLst/>
              <a:latin typeface="+mn-lt"/>
              <a:ea typeface="+mn-ea"/>
              <a:cs typeface="+mn-cs"/>
            </a:rPr>
            <a:t> eGRID Methodology"</a:t>
          </a:r>
          <a:r>
            <a:rPr lang="en-US" sz="1200" u="none">
              <a:solidFill>
                <a:schemeClr val="dk1"/>
              </a:solidFill>
              <a:effectLst/>
              <a:latin typeface="+mn-lt"/>
              <a:ea typeface="+mn-ea"/>
              <a:cs typeface="+mn-cs"/>
            </a:rPr>
            <a:t>Technical </a:t>
          </a:r>
          <a:r>
            <a:rPr lang="en-US" sz="1200">
              <a:solidFill>
                <a:schemeClr val="dk1"/>
              </a:solidFill>
              <a:effectLst/>
              <a:latin typeface="+mn-lt"/>
              <a:ea typeface="+mn-ea"/>
              <a:cs typeface="+mn-cs"/>
            </a:rPr>
            <a:t>Support Document.  EPA’s treatment of NGCC data was reproduced in these worksheets.  The 2013 eGRID Methodology ADEQ worksheet relies on the 2013 EIA 923 monthly dataset for generation and fuel consumption</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as the EIA 923 annual dataset had</a:t>
          </a:r>
          <a:r>
            <a:rPr lang="en-US" sz="1200" baseline="0">
              <a:solidFill>
                <a:schemeClr val="dk1"/>
              </a:solidFill>
              <a:effectLst/>
              <a:latin typeface="+mn-lt"/>
              <a:ea typeface="+mn-ea"/>
              <a:cs typeface="+mn-cs"/>
            </a:rPr>
            <a:t> not yet been published at the time this analysis was performed.  Unit characteristics such as prime mover, fuel type, etc. for 2012 were used for the 2013 worksheet as the EIA 860 dataset for 2013 had not yet been published at the time this analysis was performed.</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2012 Prime-Mover Specific ADEQ worksheet follows the methodology laid out in EPA’s </a:t>
          </a:r>
          <a:r>
            <a:rPr lang="en-US" sz="1100">
              <a:solidFill>
                <a:schemeClr val="dk1"/>
              </a:solidFill>
              <a:effectLst/>
              <a:latin typeface="+mn-lt"/>
              <a:ea typeface="+mn-ea"/>
              <a:cs typeface="+mn-cs"/>
            </a:rPr>
            <a:t>"Description of Unit-Level Data using</a:t>
          </a:r>
          <a:r>
            <a:rPr lang="en-US" sz="1100" baseline="0">
              <a:solidFill>
                <a:schemeClr val="dk1"/>
              </a:solidFill>
              <a:effectLst/>
              <a:latin typeface="+mn-lt"/>
              <a:ea typeface="+mn-ea"/>
              <a:cs typeface="+mn-cs"/>
            </a:rPr>
            <a:t> eGRID Methodology" </a:t>
          </a:r>
          <a:r>
            <a:rPr lang="en-US" sz="1200">
              <a:solidFill>
                <a:schemeClr val="dk1"/>
              </a:solidFill>
              <a:effectLst/>
              <a:latin typeface="+mn-lt"/>
              <a:ea typeface="+mn-ea"/>
              <a:cs typeface="+mn-cs"/>
            </a:rPr>
            <a:t>Technical Support Document, but maintains generator-specific and prime-mover specific treatment of NGCC data.  </a:t>
          </a: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Only cells in which calculations were performed to demonstrate differences in approaches considered in the “ADEQ Analysis of Clean Power Plan Building Blocks 2 &amp; 3” presentation contain active formulas.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Data Sources: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333375</xdr:colOff>
      <xdr:row>1</xdr:row>
      <xdr:rowOff>23811</xdr:rowOff>
    </xdr:from>
    <xdr:to>
      <xdr:col>13</xdr:col>
      <xdr:colOff>38100</xdr:colOff>
      <xdr:row>16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16</xdr:row>
      <xdr:rowOff>119061</xdr:rowOff>
    </xdr:from>
    <xdr:to>
      <xdr:col>13</xdr:col>
      <xdr:colOff>38100</xdr:colOff>
      <xdr:row>30</xdr:row>
      <xdr:rowOff>9524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ristina%20Quiroz\DataFiles\2012eGRID\EF\CHP%20Emissions%20Calculator%20-%20Version%202.0%20-%208-4-10%20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s"/>
      <sheetName val="Results"/>
      <sheetName val="SubThermalCalculator"/>
      <sheetName val="SubGenSources"/>
      <sheetName val="Biomass Data"/>
      <sheetName val="Lists"/>
      <sheetName val="STMTech"/>
      <sheetName val="CHPTech"/>
      <sheetName val="EGRID"/>
      <sheetName val="Profiles"/>
      <sheetName val="Factors"/>
      <sheetName val="Cal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2">
          <cell r="A32">
            <v>229.32000000000002</v>
          </cell>
        </row>
        <row r="33">
          <cell r="A33">
            <v>252</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ia.gov/electricity/data/eia923/" TargetMode="External"/><Relationship Id="rId7" Type="http://schemas.openxmlformats.org/officeDocument/2006/relationships/printerSettings" Target="../printerSettings/printerSettings1.bin"/><Relationship Id="rId2" Type="http://schemas.openxmlformats.org/officeDocument/2006/relationships/hyperlink" Target="http://www.eia.gov/electricity/data/eia860/" TargetMode="External"/><Relationship Id="rId1" Type="http://schemas.openxmlformats.org/officeDocument/2006/relationships/hyperlink" Target="http://ampd.epa.gov/ampd/" TargetMode="External"/><Relationship Id="rId6" Type="http://schemas.openxmlformats.org/officeDocument/2006/relationships/hyperlink" Target="http://www2.epa.gov/carbon-pollution-standards/clean-power-plan-proposed-rule" TargetMode="External"/><Relationship Id="rId5" Type="http://schemas.openxmlformats.org/officeDocument/2006/relationships/hyperlink" Target="http://www.google.com/url?sa=t&amp;rct=j&amp;q=&amp;esrc=s&amp;source=web&amp;cd=1&amp;ved=0CCUQFjAA&amp;url=http://www.nrel.gov/docs/fy12osti/51946.pdf&amp;ei=vjEXVOCwC8jm8QHas4B4&amp;usg=AFQjCNHFNJB1ykEgOt1XOHEpIV9RM84w4w&amp;sig2=SiG-MvjoUK9q9vbsSxFfbg&amp;bvm=bv.75097201,d.b2U" TargetMode="External"/><Relationship Id="rId4" Type="http://schemas.openxmlformats.org/officeDocument/2006/relationships/hyperlink" Target="http://www.eia.gov/electricity/data/eia861"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www.eia.gov/electricity/data/state/annual_generation_state.xls"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view="pageLayout" zoomScaleNormal="100" zoomScaleSheetLayoutView="140" workbookViewId="0">
      <selection activeCell="G27" sqref="G27"/>
    </sheetView>
  </sheetViews>
  <sheetFormatPr defaultRowHeight="15" x14ac:dyDescent="0.25"/>
  <sheetData>
    <row r="1" spans="1:9" x14ac:dyDescent="0.25">
      <c r="A1" s="139"/>
      <c r="B1" s="139"/>
      <c r="C1" s="139"/>
      <c r="D1" s="139"/>
      <c r="E1" s="139"/>
      <c r="F1" s="139"/>
      <c r="G1" s="139"/>
      <c r="H1" s="139"/>
      <c r="I1" s="139"/>
    </row>
    <row r="2" spans="1:9" x14ac:dyDescent="0.25">
      <c r="A2" s="139"/>
      <c r="B2" s="139"/>
      <c r="C2" s="139"/>
      <c r="D2" s="139"/>
      <c r="E2" s="139"/>
      <c r="F2" s="139"/>
      <c r="G2" s="139"/>
      <c r="H2" s="139"/>
      <c r="I2" s="139"/>
    </row>
    <row r="3" spans="1:9" x14ac:dyDescent="0.25">
      <c r="A3" s="139"/>
      <c r="B3" s="139"/>
      <c r="C3" s="139"/>
      <c r="D3" s="139"/>
      <c r="E3" s="139"/>
      <c r="F3" s="139"/>
      <c r="G3" s="139"/>
      <c r="H3" s="139"/>
      <c r="I3" s="139"/>
    </row>
    <row r="4" spans="1:9" x14ac:dyDescent="0.25">
      <c r="A4" s="139"/>
      <c r="B4" s="139"/>
      <c r="C4" s="139"/>
      <c r="D4" s="139"/>
      <c r="E4" s="139"/>
      <c r="F4" s="139"/>
      <c r="G4" s="139"/>
      <c r="H4" s="139"/>
      <c r="I4" s="139"/>
    </row>
    <row r="5" spans="1:9" x14ac:dyDescent="0.25">
      <c r="A5" s="139"/>
      <c r="B5" s="139"/>
      <c r="C5" s="139"/>
      <c r="D5" s="139"/>
      <c r="E5" s="139"/>
      <c r="F5" s="139"/>
      <c r="G5" s="139"/>
      <c r="H5" s="139"/>
      <c r="I5" s="139"/>
    </row>
    <row r="6" spans="1:9" x14ac:dyDescent="0.25">
      <c r="A6" s="139"/>
      <c r="B6" s="139"/>
      <c r="C6" s="139"/>
      <c r="D6" s="139"/>
      <c r="E6" s="139"/>
      <c r="F6" s="139"/>
      <c r="G6" s="139"/>
      <c r="H6" s="139"/>
      <c r="I6" s="139"/>
    </row>
    <row r="7" spans="1:9" x14ac:dyDescent="0.25">
      <c r="A7" s="139"/>
      <c r="B7" s="139"/>
      <c r="C7" s="139"/>
      <c r="D7" s="139"/>
      <c r="E7" s="139"/>
      <c r="F7" s="139"/>
      <c r="G7" s="139"/>
      <c r="H7" s="139"/>
      <c r="I7" s="139"/>
    </row>
    <row r="8" spans="1:9" x14ac:dyDescent="0.25">
      <c r="A8" s="139"/>
      <c r="B8" s="139"/>
      <c r="C8" s="139"/>
      <c r="D8" s="139"/>
      <c r="E8" s="139"/>
      <c r="F8" s="139"/>
      <c r="G8" s="139"/>
      <c r="H8" s="139"/>
      <c r="I8" s="139"/>
    </row>
    <row r="9" spans="1:9" x14ac:dyDescent="0.25">
      <c r="A9" s="139"/>
      <c r="B9" s="139"/>
      <c r="C9" s="139"/>
      <c r="D9" s="139"/>
      <c r="E9" s="139"/>
      <c r="F9" s="139"/>
      <c r="G9" s="139"/>
      <c r="H9" s="139"/>
      <c r="I9" s="139"/>
    </row>
    <row r="10" spans="1:9" x14ac:dyDescent="0.25">
      <c r="A10" s="139"/>
      <c r="B10" s="139"/>
      <c r="C10" s="139"/>
      <c r="D10" s="139"/>
      <c r="E10" s="139"/>
      <c r="F10" s="139"/>
      <c r="G10" s="139"/>
      <c r="H10" s="139"/>
      <c r="I10" s="139"/>
    </row>
    <row r="11" spans="1:9" x14ac:dyDescent="0.25">
      <c r="A11" s="139"/>
      <c r="B11" s="139"/>
      <c r="C11" s="139"/>
      <c r="D11" s="139"/>
      <c r="E11" s="139"/>
      <c r="F11" s="139"/>
      <c r="G11" s="139"/>
      <c r="H11" s="139"/>
      <c r="I11" s="139"/>
    </row>
    <row r="12" spans="1:9" x14ac:dyDescent="0.25">
      <c r="A12" s="139"/>
      <c r="B12" s="139"/>
      <c r="C12" s="139"/>
      <c r="D12" s="139"/>
      <c r="E12" s="139"/>
      <c r="F12" s="139"/>
      <c r="G12" s="139"/>
      <c r="H12" s="139"/>
      <c r="I12" s="139"/>
    </row>
    <row r="13" spans="1:9" x14ac:dyDescent="0.25">
      <c r="A13" s="139"/>
      <c r="B13" s="139"/>
      <c r="C13" s="139"/>
      <c r="D13" s="139"/>
      <c r="E13" s="139"/>
      <c r="F13" s="139"/>
      <c r="G13" s="139"/>
      <c r="H13" s="139"/>
      <c r="I13" s="139"/>
    </row>
    <row r="14" spans="1:9" x14ac:dyDescent="0.25">
      <c r="A14" s="139"/>
      <c r="B14" s="139"/>
      <c r="C14" s="139"/>
      <c r="D14" s="139"/>
      <c r="E14" s="139"/>
      <c r="F14" s="139"/>
      <c r="G14" s="139"/>
      <c r="H14" s="139"/>
      <c r="I14" s="139"/>
    </row>
    <row r="15" spans="1:9" x14ac:dyDescent="0.25">
      <c r="A15" s="139"/>
      <c r="B15" s="139"/>
      <c r="C15" s="139"/>
      <c r="D15" s="139"/>
      <c r="E15" s="139"/>
      <c r="F15" s="139"/>
      <c r="G15" s="139"/>
      <c r="H15" s="139"/>
      <c r="I15" s="139"/>
    </row>
    <row r="16" spans="1:9" x14ac:dyDescent="0.25">
      <c r="A16" s="139"/>
      <c r="B16" s="139"/>
      <c r="C16" s="139"/>
      <c r="D16" s="139"/>
      <c r="E16" s="139"/>
      <c r="F16" s="139"/>
      <c r="G16" s="139"/>
      <c r="H16" s="139"/>
      <c r="I16" s="139"/>
    </row>
    <row r="17" spans="1:9" x14ac:dyDescent="0.25">
      <c r="A17" s="139"/>
      <c r="B17" s="139"/>
      <c r="C17" s="139"/>
      <c r="D17" s="139"/>
      <c r="E17" s="139"/>
      <c r="F17" s="139"/>
      <c r="G17" s="139"/>
      <c r="H17" s="139"/>
      <c r="I17" s="139"/>
    </row>
    <row r="18" spans="1:9" x14ac:dyDescent="0.25">
      <c r="A18" s="139"/>
      <c r="B18" s="139"/>
      <c r="C18" s="139"/>
      <c r="D18" s="139"/>
      <c r="E18" s="139"/>
      <c r="F18" s="139"/>
      <c r="G18" s="139"/>
      <c r="H18" s="139"/>
      <c r="I18" s="139"/>
    </row>
    <row r="19" spans="1:9" x14ac:dyDescent="0.25">
      <c r="A19" s="139"/>
      <c r="B19" s="139"/>
      <c r="C19" s="139"/>
      <c r="D19" s="139"/>
      <c r="E19" s="139"/>
      <c r="F19" s="139"/>
      <c r="G19" s="139"/>
      <c r="H19" s="139"/>
      <c r="I19" s="139"/>
    </row>
    <row r="20" spans="1:9" x14ac:dyDescent="0.25">
      <c r="A20" s="139"/>
      <c r="B20" s="139"/>
      <c r="C20" s="139"/>
      <c r="D20" s="139"/>
      <c r="E20" s="139"/>
      <c r="F20" s="139"/>
      <c r="G20" s="139"/>
      <c r="H20" s="139"/>
      <c r="I20" s="139"/>
    </row>
    <row r="21" spans="1:9" x14ac:dyDescent="0.25">
      <c r="A21" s="139"/>
      <c r="B21" s="139"/>
      <c r="C21" s="139"/>
      <c r="D21" s="139"/>
      <c r="E21" s="139"/>
      <c r="F21" s="139"/>
      <c r="G21" s="139"/>
      <c r="H21" s="139"/>
      <c r="I21" s="139"/>
    </row>
    <row r="22" spans="1:9" x14ac:dyDescent="0.25">
      <c r="A22" s="139"/>
      <c r="B22" s="139"/>
      <c r="C22" s="139"/>
      <c r="D22" s="139"/>
      <c r="E22" s="139"/>
      <c r="F22" s="139"/>
      <c r="G22" s="139"/>
      <c r="H22" s="139"/>
      <c r="I22" s="139"/>
    </row>
    <row r="23" spans="1:9" x14ac:dyDescent="0.25">
      <c r="A23" s="139"/>
      <c r="B23" s="139"/>
      <c r="C23" s="139"/>
      <c r="D23" s="139"/>
      <c r="E23" s="139"/>
      <c r="F23" s="139"/>
      <c r="G23" s="139"/>
      <c r="H23" s="139"/>
      <c r="I23" s="139"/>
    </row>
    <row r="24" spans="1:9" x14ac:dyDescent="0.25">
      <c r="A24" s="84" t="s">
        <v>235</v>
      </c>
      <c r="B24" s="139"/>
      <c r="C24" s="139"/>
      <c r="D24" s="139" t="s">
        <v>236</v>
      </c>
      <c r="E24" s="139"/>
      <c r="F24" s="139"/>
      <c r="G24" s="139"/>
      <c r="H24" s="139"/>
      <c r="I24" s="139"/>
    </row>
    <row r="25" spans="1:9" x14ac:dyDescent="0.25">
      <c r="A25" s="242" t="s">
        <v>230</v>
      </c>
      <c r="B25" s="139"/>
      <c r="C25" s="139"/>
      <c r="D25" s="139"/>
      <c r="E25" s="139"/>
      <c r="F25" s="139"/>
      <c r="G25" s="139"/>
      <c r="H25" s="139"/>
      <c r="I25" s="139"/>
    </row>
    <row r="26" spans="1:9" x14ac:dyDescent="0.25">
      <c r="A26" s="242" t="s">
        <v>231</v>
      </c>
      <c r="B26" s="139"/>
      <c r="C26" s="139"/>
      <c r="D26" s="139"/>
      <c r="E26" s="139"/>
      <c r="F26" s="139"/>
      <c r="G26" s="139"/>
      <c r="H26" s="139"/>
      <c r="I26" s="139"/>
    </row>
    <row r="27" spans="1:9" x14ac:dyDescent="0.25">
      <c r="A27" s="242" t="s">
        <v>232</v>
      </c>
      <c r="B27" s="139"/>
      <c r="C27" s="139"/>
      <c r="D27" s="139"/>
      <c r="E27" s="139"/>
      <c r="F27" s="139"/>
      <c r="G27" s="139"/>
      <c r="H27" s="139"/>
      <c r="I27" s="139"/>
    </row>
    <row r="28" spans="1:9" x14ac:dyDescent="0.25">
      <c r="A28" s="242" t="s">
        <v>233</v>
      </c>
      <c r="B28" s="139"/>
      <c r="C28" s="139"/>
      <c r="D28" s="139"/>
      <c r="E28" s="139"/>
      <c r="F28" s="139"/>
      <c r="G28" s="139"/>
      <c r="H28" s="139"/>
      <c r="I28" s="139"/>
    </row>
    <row r="29" spans="1:9" x14ac:dyDescent="0.25">
      <c r="A29" s="242" t="s">
        <v>234</v>
      </c>
      <c r="B29" s="139"/>
      <c r="C29" s="139"/>
      <c r="D29" s="139"/>
      <c r="E29" s="139"/>
      <c r="F29" s="139"/>
      <c r="G29" s="139"/>
      <c r="H29" s="139"/>
      <c r="I29" s="139"/>
    </row>
    <row r="30" spans="1:9" x14ac:dyDescent="0.25">
      <c r="A30" s="139"/>
      <c r="B30" s="139"/>
      <c r="C30" s="139"/>
      <c r="D30" s="139"/>
      <c r="E30" s="139"/>
      <c r="F30" s="139"/>
      <c r="G30" s="139"/>
      <c r="H30" s="139"/>
      <c r="I30" s="139"/>
    </row>
    <row r="31" spans="1:9" x14ac:dyDescent="0.25">
      <c r="A31" s="139"/>
      <c r="B31" s="139"/>
      <c r="C31" s="139"/>
      <c r="D31" s="139"/>
      <c r="E31" s="139"/>
      <c r="F31" s="139"/>
      <c r="G31" s="139"/>
      <c r="H31" s="139"/>
      <c r="I31" s="139"/>
    </row>
    <row r="32" spans="1:9" x14ac:dyDescent="0.25">
      <c r="A32" s="139"/>
      <c r="B32" s="139"/>
      <c r="C32" s="139"/>
      <c r="D32" s="139"/>
      <c r="E32" s="139"/>
      <c r="F32" s="139"/>
      <c r="G32" s="139"/>
      <c r="H32" s="139"/>
      <c r="I32" s="139"/>
    </row>
    <row r="33" spans="1:9" x14ac:dyDescent="0.25">
      <c r="A33" s="139"/>
      <c r="B33" s="139"/>
      <c r="C33" s="139"/>
      <c r="D33" s="139"/>
      <c r="E33" s="139"/>
      <c r="F33" s="139"/>
      <c r="G33" s="139"/>
      <c r="H33" s="139"/>
      <c r="I33" s="139"/>
    </row>
    <row r="34" spans="1:9" x14ac:dyDescent="0.25">
      <c r="A34" s="139"/>
      <c r="B34" s="139"/>
      <c r="C34" s="139"/>
      <c r="D34" s="139"/>
      <c r="E34" s="139"/>
      <c r="F34" s="139"/>
      <c r="G34" s="139"/>
      <c r="H34" s="139"/>
      <c r="I34" s="139"/>
    </row>
    <row r="35" spans="1:9" x14ac:dyDescent="0.25">
      <c r="A35" s="139"/>
      <c r="B35" s="139"/>
      <c r="C35" s="139"/>
      <c r="D35" s="139"/>
      <c r="E35" s="139"/>
      <c r="F35" s="139"/>
      <c r="G35" s="139"/>
      <c r="H35" s="139"/>
      <c r="I35" s="139"/>
    </row>
    <row r="36" spans="1:9" x14ac:dyDescent="0.25">
      <c r="A36" s="139"/>
      <c r="B36" s="139"/>
      <c r="C36" s="139"/>
      <c r="D36" s="139"/>
      <c r="E36" s="139"/>
      <c r="F36" s="139"/>
      <c r="G36" s="139"/>
      <c r="H36" s="139"/>
      <c r="I36" s="139"/>
    </row>
    <row r="37" spans="1:9" x14ac:dyDescent="0.25">
      <c r="A37" s="139"/>
      <c r="B37" s="139"/>
      <c r="C37" s="139"/>
      <c r="D37" s="139"/>
      <c r="E37" s="139"/>
      <c r="F37" s="139"/>
      <c r="G37" s="139"/>
      <c r="H37" s="139"/>
      <c r="I37" s="139"/>
    </row>
    <row r="38" spans="1:9" x14ac:dyDescent="0.25">
      <c r="A38" s="139"/>
      <c r="B38" s="139"/>
      <c r="C38" s="139"/>
      <c r="D38" s="139"/>
      <c r="E38" s="139"/>
      <c r="F38" s="139"/>
      <c r="G38" s="139"/>
      <c r="H38" s="139"/>
      <c r="I38" s="139"/>
    </row>
    <row r="39" spans="1:9" x14ac:dyDescent="0.25">
      <c r="A39" s="139"/>
      <c r="B39" s="139"/>
      <c r="C39" s="139"/>
      <c r="D39" s="139"/>
      <c r="E39" s="139"/>
      <c r="F39" s="139"/>
      <c r="G39" s="139"/>
      <c r="H39" s="139"/>
      <c r="I39" s="139"/>
    </row>
    <row r="40" spans="1:9" x14ac:dyDescent="0.25">
      <c r="A40" s="139"/>
      <c r="B40" s="139"/>
      <c r="C40" s="139"/>
      <c r="D40" s="139"/>
      <c r="E40" s="139"/>
      <c r="F40" s="139"/>
      <c r="G40" s="139"/>
      <c r="H40" s="139"/>
      <c r="I40" s="139"/>
    </row>
    <row r="41" spans="1:9" x14ac:dyDescent="0.25">
      <c r="A41" s="139"/>
      <c r="B41" s="139"/>
      <c r="C41" s="139"/>
      <c r="D41" s="139"/>
      <c r="E41" s="139"/>
      <c r="F41" s="139"/>
      <c r="G41" s="139"/>
      <c r="H41" s="139"/>
      <c r="I41" s="139"/>
    </row>
    <row r="42" spans="1:9" x14ac:dyDescent="0.25">
      <c r="A42" s="139"/>
      <c r="B42" s="139"/>
      <c r="C42" s="139"/>
      <c r="D42" s="139"/>
      <c r="E42" s="139"/>
      <c r="F42" s="139"/>
      <c r="G42" s="139"/>
      <c r="H42" s="139"/>
      <c r="I42" s="139"/>
    </row>
    <row r="43" spans="1:9" x14ac:dyDescent="0.25">
      <c r="A43" s="139"/>
      <c r="B43" s="139"/>
      <c r="C43" s="139"/>
      <c r="D43" s="139"/>
      <c r="E43" s="139"/>
      <c r="F43" s="139"/>
      <c r="G43" s="139"/>
      <c r="H43" s="139"/>
      <c r="I43" s="139"/>
    </row>
    <row r="44" spans="1:9" x14ac:dyDescent="0.25">
      <c r="A44" s="139"/>
      <c r="B44" s="139"/>
      <c r="C44" s="139"/>
      <c r="D44" s="139"/>
      <c r="E44" s="139"/>
      <c r="F44" s="139"/>
      <c r="G44" s="139"/>
      <c r="H44" s="139"/>
      <c r="I44" s="139"/>
    </row>
    <row r="45" spans="1:9" x14ac:dyDescent="0.25">
      <c r="A45" s="139"/>
      <c r="B45" s="139"/>
      <c r="C45" s="139"/>
      <c r="D45" s="139"/>
      <c r="E45" s="139"/>
      <c r="F45" s="139"/>
      <c r="G45" s="139"/>
      <c r="H45" s="139"/>
      <c r="I45" s="139"/>
    </row>
    <row r="46" spans="1:9" x14ac:dyDescent="0.25">
      <c r="A46" s="139"/>
      <c r="B46" s="139"/>
      <c r="C46" s="139"/>
      <c r="D46" s="139"/>
      <c r="E46" s="139"/>
      <c r="F46" s="139"/>
      <c r="G46" s="139"/>
      <c r="H46" s="139"/>
      <c r="I46" s="139"/>
    </row>
    <row r="47" spans="1:9" x14ac:dyDescent="0.25">
      <c r="A47" s="139"/>
      <c r="B47" s="139"/>
      <c r="C47" s="139"/>
      <c r="D47" s="139"/>
      <c r="E47" s="139"/>
      <c r="F47" s="139"/>
      <c r="G47" s="139"/>
      <c r="H47" s="139"/>
      <c r="I47" s="139"/>
    </row>
  </sheetData>
  <hyperlinks>
    <hyperlink ref="A25" r:id="rId1" display="http://ampd.epa.gov/ampd/"/>
    <hyperlink ref="A26" r:id="rId2" display="http://www.eia.gov/electricity/data/eia860/"/>
    <hyperlink ref="A27" r:id="rId3" display="http://www.eia.gov/electricity/data/eia923/"/>
    <hyperlink ref="A28" r:id="rId4" display="http://www.eia.gov/electricity/data/eia861"/>
    <hyperlink ref="A29" r:id="rId5" display="http://www.google.com/url?sa=t&amp;rct=j&amp;q=&amp;esrc=s&amp;source=web&amp;cd=1&amp;ved=0CCUQFjAA&amp;url=http://www.nrel.gov/docs/fy12osti/51946.pdf&amp;ei=vjEXVOCwC8jm8QHas4B4&amp;usg=AFQjCNHFNJB1ykEgOt1XOHEpIV9RM84w4w&amp;sig2=SiG-MvjoUK9q9vbsSxFfbg&amp;bvm=bv.75097201,d.b2U"/>
    <hyperlink ref="A24" r:id="rId6"/>
  </hyperlinks>
  <pageMargins left="0.7" right="0.7" top="0.75" bottom="0.75" header="0.3" footer="0.3"/>
  <pageSetup orientation="portrait" r:id="rId7"/>
  <headerFooter>
    <oddHeader>&amp;CData Attachment to the "ADEQ Analysis of Clean Power Plan Building Blocks 2 and 3" presentation given on October 1, 2014</oddHeader>
  </headerFooter>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workbookViewId="0">
      <selection activeCell="J17" sqref="J17"/>
    </sheetView>
  </sheetViews>
  <sheetFormatPr defaultRowHeight="15" x14ac:dyDescent="0.25"/>
  <cols>
    <col min="1" max="2" width="9.140625" style="197"/>
    <col min="3" max="3" width="32.140625" style="197" bestFit="1" customWidth="1"/>
    <col min="4" max="14" width="9.140625" style="197"/>
    <col min="15" max="15" width="13.42578125" style="197" bestFit="1" customWidth="1"/>
    <col min="16" max="16384" width="9.140625" style="197"/>
  </cols>
  <sheetData>
    <row r="1" spans="1:17" ht="105" x14ac:dyDescent="0.25">
      <c r="A1" s="191" t="s">
        <v>0</v>
      </c>
      <c r="B1" s="191" t="s">
        <v>1</v>
      </c>
      <c r="C1" s="191" t="s">
        <v>2</v>
      </c>
      <c r="D1" s="192" t="s">
        <v>3</v>
      </c>
      <c r="E1" s="193" t="s">
        <v>4</v>
      </c>
      <c r="F1" s="194" t="s">
        <v>5</v>
      </c>
      <c r="G1" s="194" t="s">
        <v>6</v>
      </c>
      <c r="H1" s="192" t="s">
        <v>7</v>
      </c>
      <c r="I1" s="195" t="s">
        <v>8</v>
      </c>
      <c r="J1" s="196" t="s">
        <v>9</v>
      </c>
      <c r="K1" s="195" t="s">
        <v>228</v>
      </c>
      <c r="L1" s="195" t="s">
        <v>229</v>
      </c>
      <c r="M1" s="195" t="s">
        <v>10</v>
      </c>
      <c r="N1" s="194" t="s">
        <v>11</v>
      </c>
      <c r="O1" s="194" t="s">
        <v>12</v>
      </c>
      <c r="P1" s="194" t="s">
        <v>13</v>
      </c>
      <c r="Q1" s="194" t="s">
        <v>14</v>
      </c>
    </row>
    <row r="2" spans="1:17" x14ac:dyDescent="0.25">
      <c r="A2" s="198" t="s">
        <v>15</v>
      </c>
      <c r="B2" s="199" t="s">
        <v>16</v>
      </c>
      <c r="C2" s="199" t="s">
        <v>17</v>
      </c>
      <c r="D2" s="200">
        <v>6138</v>
      </c>
      <c r="E2" s="199">
        <v>1</v>
      </c>
      <c r="F2" s="199" t="s">
        <v>19</v>
      </c>
      <c r="G2" s="199" t="s">
        <v>20</v>
      </c>
      <c r="H2" s="200">
        <v>558</v>
      </c>
      <c r="I2" s="201">
        <v>3786795</v>
      </c>
      <c r="J2" s="202"/>
      <c r="K2" s="202"/>
      <c r="L2" s="203">
        <f t="shared" ref="L2:L25" si="0">I2</f>
        <v>3786795</v>
      </c>
      <c r="M2" s="201">
        <v>4178558.7349999999</v>
      </c>
      <c r="N2" s="204"/>
      <c r="O2" s="199" t="s">
        <v>21</v>
      </c>
      <c r="P2" s="199" t="s">
        <v>22</v>
      </c>
      <c r="Q2" s="199" t="s">
        <v>23</v>
      </c>
    </row>
    <row r="3" spans="1:17" x14ac:dyDescent="0.25">
      <c r="A3" s="198" t="s">
        <v>15</v>
      </c>
      <c r="B3" s="199" t="s">
        <v>16</v>
      </c>
      <c r="C3" s="199" t="s">
        <v>24</v>
      </c>
      <c r="D3" s="200">
        <v>6641</v>
      </c>
      <c r="E3" s="199">
        <v>1</v>
      </c>
      <c r="F3" s="199" t="s">
        <v>19</v>
      </c>
      <c r="G3" s="199" t="s">
        <v>20</v>
      </c>
      <c r="H3" s="200">
        <v>850</v>
      </c>
      <c r="I3" s="201">
        <v>5577931</v>
      </c>
      <c r="J3" s="205"/>
      <c r="K3" s="205"/>
      <c r="L3" s="203">
        <f t="shared" si="0"/>
        <v>5577931</v>
      </c>
      <c r="M3" s="201">
        <v>5995658.3640000001</v>
      </c>
      <c r="N3" s="198"/>
      <c r="O3" s="199" t="s">
        <v>21</v>
      </c>
      <c r="P3" s="199" t="s">
        <v>22</v>
      </c>
      <c r="Q3" s="199" t="s">
        <v>23</v>
      </c>
    </row>
    <row r="4" spans="1:17" x14ac:dyDescent="0.25">
      <c r="A4" s="198" t="s">
        <v>15</v>
      </c>
      <c r="B4" s="199" t="s">
        <v>16</v>
      </c>
      <c r="C4" s="199" t="s">
        <v>24</v>
      </c>
      <c r="D4" s="200">
        <v>6641</v>
      </c>
      <c r="E4" s="199">
        <v>2</v>
      </c>
      <c r="F4" s="199" t="s">
        <v>19</v>
      </c>
      <c r="G4" s="199" t="s">
        <v>20</v>
      </c>
      <c r="H4" s="200">
        <v>850</v>
      </c>
      <c r="I4" s="201">
        <v>5416553</v>
      </c>
      <c r="J4" s="205"/>
      <c r="K4" s="205"/>
      <c r="L4" s="203">
        <f t="shared" si="0"/>
        <v>5416553</v>
      </c>
      <c r="M4" s="201">
        <v>5901139.9529999997</v>
      </c>
      <c r="N4" s="198"/>
      <c r="O4" s="199" t="s">
        <v>21</v>
      </c>
      <c r="P4" s="199" t="s">
        <v>22</v>
      </c>
      <c r="Q4" s="199" t="s">
        <v>23</v>
      </c>
    </row>
    <row r="5" spans="1:17" x14ac:dyDescent="0.25">
      <c r="A5" s="198" t="s">
        <v>15</v>
      </c>
      <c r="B5" s="199" t="s">
        <v>16</v>
      </c>
      <c r="C5" s="199" t="s">
        <v>82</v>
      </c>
      <c r="D5" s="200">
        <v>56456</v>
      </c>
      <c r="E5" s="199" t="s">
        <v>66</v>
      </c>
      <c r="F5" s="199" t="s">
        <v>19</v>
      </c>
      <c r="G5" s="199" t="s">
        <v>20</v>
      </c>
      <c r="H5" s="200">
        <v>720</v>
      </c>
      <c r="I5" s="201">
        <v>4179644</v>
      </c>
      <c r="J5" s="198"/>
      <c r="K5" s="198"/>
      <c r="L5" s="203">
        <f t="shared" si="0"/>
        <v>4179644</v>
      </c>
      <c r="M5" s="201">
        <v>4635764.2869999995</v>
      </c>
      <c r="N5" s="198"/>
      <c r="O5" s="199" t="s">
        <v>84</v>
      </c>
      <c r="P5" s="199" t="s">
        <v>22</v>
      </c>
      <c r="Q5" s="199" t="s">
        <v>23</v>
      </c>
    </row>
    <row r="6" spans="1:17" x14ac:dyDescent="0.25">
      <c r="A6" s="198" t="s">
        <v>15</v>
      </c>
      <c r="B6" s="199" t="s">
        <v>16</v>
      </c>
      <c r="C6" s="199" t="s">
        <v>26</v>
      </c>
      <c r="D6" s="200">
        <v>6009</v>
      </c>
      <c r="E6" s="199">
        <v>1</v>
      </c>
      <c r="F6" s="199" t="s">
        <v>19</v>
      </c>
      <c r="G6" s="199" t="s">
        <v>20</v>
      </c>
      <c r="H6" s="200">
        <v>850</v>
      </c>
      <c r="I6" s="201">
        <v>4668399</v>
      </c>
      <c r="J6" s="198"/>
      <c r="K6" s="198"/>
      <c r="L6" s="203">
        <f t="shared" si="0"/>
        <v>4668399</v>
      </c>
      <c r="M6" s="201">
        <v>5497100.9970000004</v>
      </c>
      <c r="N6" s="198"/>
      <c r="O6" s="199" t="s">
        <v>21</v>
      </c>
      <c r="P6" s="199" t="s">
        <v>22</v>
      </c>
      <c r="Q6" s="199" t="s">
        <v>23</v>
      </c>
    </row>
    <row r="7" spans="1:17" x14ac:dyDescent="0.25">
      <c r="A7" s="198" t="s">
        <v>15</v>
      </c>
      <c r="B7" s="199" t="s">
        <v>16</v>
      </c>
      <c r="C7" s="199" t="s">
        <v>26</v>
      </c>
      <c r="D7" s="200">
        <v>6009</v>
      </c>
      <c r="E7" s="199">
        <v>2</v>
      </c>
      <c r="F7" s="199" t="s">
        <v>19</v>
      </c>
      <c r="G7" s="199" t="s">
        <v>20</v>
      </c>
      <c r="H7" s="200">
        <v>850</v>
      </c>
      <c r="I7" s="201">
        <v>5734297</v>
      </c>
      <c r="J7" s="198"/>
      <c r="K7" s="198"/>
      <c r="L7" s="203">
        <f t="shared" si="0"/>
        <v>5734297</v>
      </c>
      <c r="M7" s="201">
        <v>6146583.2759999996</v>
      </c>
      <c r="N7" s="198"/>
      <c r="O7" s="199" t="s">
        <v>21</v>
      </c>
      <c r="P7" s="199" t="s">
        <v>22</v>
      </c>
      <c r="Q7" s="199" t="s">
        <v>23</v>
      </c>
    </row>
    <row r="8" spans="1:17" x14ac:dyDescent="0.25">
      <c r="A8" s="198" t="s">
        <v>27</v>
      </c>
      <c r="B8" s="199" t="s">
        <v>16</v>
      </c>
      <c r="C8" s="199" t="s">
        <v>28</v>
      </c>
      <c r="D8" s="200">
        <v>55340</v>
      </c>
      <c r="E8" s="199" t="s">
        <v>29</v>
      </c>
      <c r="F8" s="199" t="s">
        <v>30</v>
      </c>
      <c r="G8" s="199" t="s">
        <v>31</v>
      </c>
      <c r="H8" s="200">
        <v>199</v>
      </c>
      <c r="I8" s="206">
        <v>128854.9911634757</v>
      </c>
      <c r="J8" s="204"/>
      <c r="K8" s="204"/>
      <c r="L8" s="207">
        <f t="shared" si="0"/>
        <v>128854.9911634757</v>
      </c>
      <c r="M8" s="206">
        <v>63689.4242179676</v>
      </c>
      <c r="N8" s="204"/>
      <c r="O8" s="199" t="s">
        <v>21</v>
      </c>
      <c r="P8" s="199" t="s">
        <v>22</v>
      </c>
      <c r="Q8" s="199" t="s">
        <v>23</v>
      </c>
    </row>
    <row r="9" spans="1:17" x14ac:dyDescent="0.25">
      <c r="A9" s="198" t="s">
        <v>27</v>
      </c>
      <c r="B9" s="199" t="s">
        <v>16</v>
      </c>
      <c r="C9" s="199" t="s">
        <v>28</v>
      </c>
      <c r="D9" s="200">
        <v>55340</v>
      </c>
      <c r="E9" s="199" t="s">
        <v>32</v>
      </c>
      <c r="F9" s="199" t="s">
        <v>30</v>
      </c>
      <c r="G9" s="199" t="s">
        <v>31</v>
      </c>
      <c r="H9" s="200">
        <v>199</v>
      </c>
      <c r="I9" s="206">
        <v>128854.9911634757</v>
      </c>
      <c r="J9" s="204"/>
      <c r="K9" s="204"/>
      <c r="L9" s="207">
        <f t="shared" si="0"/>
        <v>128854.9911634757</v>
      </c>
      <c r="M9" s="206">
        <v>63689.4242179676</v>
      </c>
      <c r="N9" s="204"/>
      <c r="O9" s="199" t="s">
        <v>21</v>
      </c>
      <c r="P9" s="199" t="s">
        <v>22</v>
      </c>
      <c r="Q9" s="199" t="s">
        <v>23</v>
      </c>
    </row>
    <row r="10" spans="1:17" x14ac:dyDescent="0.25">
      <c r="A10" s="198" t="s">
        <v>27</v>
      </c>
      <c r="B10" s="199" t="s">
        <v>16</v>
      </c>
      <c r="C10" s="199" t="s">
        <v>28</v>
      </c>
      <c r="D10" s="200">
        <v>55340</v>
      </c>
      <c r="E10" s="199" t="s">
        <v>33</v>
      </c>
      <c r="F10" s="199" t="s">
        <v>30</v>
      </c>
      <c r="G10" s="199" t="s">
        <v>34</v>
      </c>
      <c r="H10" s="200">
        <v>281</v>
      </c>
      <c r="I10" s="206">
        <v>181951.0176730486</v>
      </c>
      <c r="J10" s="204"/>
      <c r="K10" s="204"/>
      <c r="L10" s="207">
        <f t="shared" si="0"/>
        <v>181951.0176730486</v>
      </c>
      <c r="M10" s="206">
        <v>89933.307564064802</v>
      </c>
      <c r="N10" s="204"/>
      <c r="O10" s="199" t="s">
        <v>21</v>
      </c>
      <c r="P10" s="199" t="s">
        <v>22</v>
      </c>
      <c r="Q10" s="199" t="s">
        <v>23</v>
      </c>
    </row>
    <row r="11" spans="1:17" x14ac:dyDescent="0.25">
      <c r="A11" s="198" t="s">
        <v>27</v>
      </c>
      <c r="B11" s="199" t="s">
        <v>16</v>
      </c>
      <c r="C11" s="199" t="s">
        <v>35</v>
      </c>
      <c r="D11" s="200">
        <v>55221</v>
      </c>
      <c r="E11" s="199" t="s">
        <v>36</v>
      </c>
      <c r="F11" s="199" t="s">
        <v>30</v>
      </c>
      <c r="G11" s="199" t="s">
        <v>31</v>
      </c>
      <c r="H11" s="200">
        <v>51</v>
      </c>
      <c r="I11" s="206">
        <v>67427.189324437029</v>
      </c>
      <c r="J11" s="204"/>
      <c r="K11" s="204"/>
      <c r="L11" s="207">
        <f t="shared" si="0"/>
        <v>67427.189324437029</v>
      </c>
      <c r="M11" s="206">
        <v>29792.113466221854</v>
      </c>
      <c r="N11" s="204"/>
      <c r="O11" s="199" t="s">
        <v>21</v>
      </c>
      <c r="P11" s="199" t="s">
        <v>22</v>
      </c>
      <c r="Q11" s="199" t="s">
        <v>23</v>
      </c>
    </row>
    <row r="12" spans="1:17" x14ac:dyDescent="0.25">
      <c r="A12" s="198" t="s">
        <v>27</v>
      </c>
      <c r="B12" s="199" t="s">
        <v>16</v>
      </c>
      <c r="C12" s="199" t="s">
        <v>35</v>
      </c>
      <c r="D12" s="200">
        <v>55221</v>
      </c>
      <c r="E12" s="199" t="s">
        <v>37</v>
      </c>
      <c r="F12" s="199" t="s">
        <v>30</v>
      </c>
      <c r="G12" s="199" t="s">
        <v>31</v>
      </c>
      <c r="H12" s="200">
        <v>51</v>
      </c>
      <c r="I12" s="206">
        <v>67427.189324437029</v>
      </c>
      <c r="J12" s="204"/>
      <c r="K12" s="204"/>
      <c r="L12" s="207">
        <f t="shared" si="0"/>
        <v>67427.189324437029</v>
      </c>
      <c r="M12" s="206">
        <v>29792.113466221854</v>
      </c>
      <c r="N12" s="204"/>
      <c r="O12" s="199" t="s">
        <v>21</v>
      </c>
      <c r="P12" s="199" t="s">
        <v>22</v>
      </c>
      <c r="Q12" s="199" t="s">
        <v>23</v>
      </c>
    </row>
    <row r="13" spans="1:17" x14ac:dyDescent="0.25">
      <c r="A13" s="198" t="s">
        <v>27</v>
      </c>
      <c r="B13" s="199" t="s">
        <v>16</v>
      </c>
      <c r="C13" s="199" t="s">
        <v>35</v>
      </c>
      <c r="D13" s="200">
        <v>55221</v>
      </c>
      <c r="E13" s="199" t="s">
        <v>38</v>
      </c>
      <c r="F13" s="199" t="s">
        <v>30</v>
      </c>
      <c r="G13" s="199" t="s">
        <v>31</v>
      </c>
      <c r="H13" s="200">
        <v>51</v>
      </c>
      <c r="I13" s="206">
        <v>67427.189324437029</v>
      </c>
      <c r="J13" s="204"/>
      <c r="K13" s="204"/>
      <c r="L13" s="207">
        <f t="shared" si="0"/>
        <v>67427.189324437029</v>
      </c>
      <c r="M13" s="206">
        <v>29792.113466221854</v>
      </c>
      <c r="N13" s="204"/>
      <c r="O13" s="199" t="s">
        <v>21</v>
      </c>
      <c r="P13" s="199" t="s">
        <v>22</v>
      </c>
      <c r="Q13" s="199" t="s">
        <v>23</v>
      </c>
    </row>
    <row r="14" spans="1:17" x14ac:dyDescent="0.25">
      <c r="A14" s="198" t="s">
        <v>27</v>
      </c>
      <c r="B14" s="199" t="s">
        <v>16</v>
      </c>
      <c r="C14" s="199" t="s">
        <v>35</v>
      </c>
      <c r="D14" s="200">
        <v>55221</v>
      </c>
      <c r="E14" s="199" t="s">
        <v>39</v>
      </c>
      <c r="F14" s="199" t="s">
        <v>30</v>
      </c>
      <c r="G14" s="199" t="s">
        <v>31</v>
      </c>
      <c r="H14" s="200">
        <v>51</v>
      </c>
      <c r="I14" s="206">
        <v>67427.189324437029</v>
      </c>
      <c r="J14" s="204"/>
      <c r="K14" s="204"/>
      <c r="L14" s="207">
        <f t="shared" si="0"/>
        <v>67427.189324437029</v>
      </c>
      <c r="M14" s="206">
        <v>29792.113466221854</v>
      </c>
      <c r="N14" s="204"/>
      <c r="O14" s="199" t="s">
        <v>21</v>
      </c>
      <c r="P14" s="199" t="s">
        <v>22</v>
      </c>
      <c r="Q14" s="199" t="s">
        <v>23</v>
      </c>
    </row>
    <row r="15" spans="1:17" x14ac:dyDescent="0.25">
      <c r="A15" s="198" t="s">
        <v>27</v>
      </c>
      <c r="B15" s="199" t="s">
        <v>16</v>
      </c>
      <c r="C15" s="199" t="s">
        <v>35</v>
      </c>
      <c r="D15" s="200">
        <v>55221</v>
      </c>
      <c r="E15" s="199" t="s">
        <v>40</v>
      </c>
      <c r="F15" s="199" t="s">
        <v>30</v>
      </c>
      <c r="G15" s="199" t="s">
        <v>31</v>
      </c>
      <c r="H15" s="200">
        <v>51</v>
      </c>
      <c r="I15" s="206">
        <v>67427.189324437029</v>
      </c>
      <c r="J15" s="204"/>
      <c r="K15" s="204"/>
      <c r="L15" s="207">
        <f t="shared" si="0"/>
        <v>67427.189324437029</v>
      </c>
      <c r="M15" s="206">
        <v>29792.113466221854</v>
      </c>
      <c r="N15" s="204"/>
      <c r="O15" s="199" t="s">
        <v>21</v>
      </c>
      <c r="P15" s="199" t="s">
        <v>22</v>
      </c>
      <c r="Q15" s="199" t="s">
        <v>23</v>
      </c>
    </row>
    <row r="16" spans="1:17" x14ac:dyDescent="0.25">
      <c r="A16" s="198" t="s">
        <v>27</v>
      </c>
      <c r="B16" s="199" t="s">
        <v>16</v>
      </c>
      <c r="C16" s="199" t="s">
        <v>35</v>
      </c>
      <c r="D16" s="200">
        <v>55221</v>
      </c>
      <c r="E16" s="199" t="s">
        <v>41</v>
      </c>
      <c r="F16" s="199" t="s">
        <v>30</v>
      </c>
      <c r="G16" s="199" t="s">
        <v>31</v>
      </c>
      <c r="H16" s="200">
        <v>51</v>
      </c>
      <c r="I16" s="206">
        <v>67427.189324437029</v>
      </c>
      <c r="J16" s="204"/>
      <c r="K16" s="204"/>
      <c r="L16" s="207">
        <f t="shared" si="0"/>
        <v>67427.189324437029</v>
      </c>
      <c r="M16" s="206">
        <v>29792.113466221854</v>
      </c>
      <c r="N16" s="204"/>
      <c r="O16" s="199" t="s">
        <v>21</v>
      </c>
      <c r="P16" s="199" t="s">
        <v>22</v>
      </c>
      <c r="Q16" s="199" t="s">
        <v>23</v>
      </c>
    </row>
    <row r="17" spans="1:17" x14ac:dyDescent="0.25">
      <c r="A17" s="198" t="s">
        <v>27</v>
      </c>
      <c r="B17" s="199" t="s">
        <v>16</v>
      </c>
      <c r="C17" s="199" t="s">
        <v>35</v>
      </c>
      <c r="D17" s="200">
        <v>55221</v>
      </c>
      <c r="E17" s="199" t="s">
        <v>42</v>
      </c>
      <c r="F17" s="199" t="s">
        <v>30</v>
      </c>
      <c r="G17" s="199" t="s">
        <v>31</v>
      </c>
      <c r="H17" s="200">
        <v>83.5</v>
      </c>
      <c r="I17" s="206">
        <v>110395.4962468724</v>
      </c>
      <c r="J17" s="204"/>
      <c r="K17" s="204"/>
      <c r="L17" s="207">
        <f t="shared" si="0"/>
        <v>110395.4962468724</v>
      </c>
      <c r="M17" s="206">
        <v>48777.283812343623</v>
      </c>
      <c r="N17" s="204"/>
      <c r="O17" s="199" t="s">
        <v>21</v>
      </c>
      <c r="P17" s="199" t="s">
        <v>22</v>
      </c>
      <c r="Q17" s="199" t="s">
        <v>23</v>
      </c>
    </row>
    <row r="18" spans="1:17" x14ac:dyDescent="0.25">
      <c r="A18" s="198" t="s">
        <v>27</v>
      </c>
      <c r="B18" s="199" t="s">
        <v>16</v>
      </c>
      <c r="C18" s="199" t="s">
        <v>35</v>
      </c>
      <c r="D18" s="200">
        <v>55221</v>
      </c>
      <c r="E18" s="199" t="s">
        <v>43</v>
      </c>
      <c r="F18" s="199" t="s">
        <v>30</v>
      </c>
      <c r="G18" s="199" t="s">
        <v>34</v>
      </c>
      <c r="H18" s="200">
        <v>105</v>
      </c>
      <c r="I18" s="206">
        <v>138820.68390325271</v>
      </c>
      <c r="J18" s="204"/>
      <c r="K18" s="204"/>
      <c r="L18" s="207">
        <f t="shared" si="0"/>
        <v>138820.68390325271</v>
      </c>
      <c r="M18" s="206">
        <v>61336.704195162631</v>
      </c>
      <c r="N18" s="204"/>
      <c r="O18" s="199" t="s">
        <v>21</v>
      </c>
      <c r="P18" s="199" t="s">
        <v>22</v>
      </c>
      <c r="Q18" s="199" t="s">
        <v>23</v>
      </c>
    </row>
    <row r="19" spans="1:17" x14ac:dyDescent="0.25">
      <c r="A19" s="198" t="s">
        <v>27</v>
      </c>
      <c r="B19" s="199" t="s">
        <v>16</v>
      </c>
      <c r="C19" s="199" t="s">
        <v>35</v>
      </c>
      <c r="D19" s="200">
        <v>55221</v>
      </c>
      <c r="E19" s="199" t="s">
        <v>44</v>
      </c>
      <c r="F19" s="199" t="s">
        <v>30</v>
      </c>
      <c r="G19" s="199" t="s">
        <v>34</v>
      </c>
      <c r="H19" s="200">
        <v>105</v>
      </c>
      <c r="I19" s="206">
        <v>138820.68390325271</v>
      </c>
      <c r="J19" s="208"/>
      <c r="K19" s="208"/>
      <c r="L19" s="207">
        <f t="shared" si="0"/>
        <v>138820.68390325271</v>
      </c>
      <c r="M19" s="206">
        <v>61336.704195162631</v>
      </c>
      <c r="N19" s="204"/>
      <c r="O19" s="199" t="s">
        <v>21</v>
      </c>
      <c r="P19" s="199" t="s">
        <v>22</v>
      </c>
      <c r="Q19" s="199" t="s">
        <v>23</v>
      </c>
    </row>
    <row r="20" spans="1:17" x14ac:dyDescent="0.25">
      <c r="A20" s="198" t="s">
        <v>27</v>
      </c>
      <c r="B20" s="199" t="s">
        <v>16</v>
      </c>
      <c r="C20" s="199" t="s">
        <v>45</v>
      </c>
      <c r="D20" s="200">
        <v>55714</v>
      </c>
      <c r="E20" s="199" t="s">
        <v>46</v>
      </c>
      <c r="F20" s="199" t="s">
        <v>30</v>
      </c>
      <c r="G20" s="199" t="s">
        <v>31</v>
      </c>
      <c r="H20" s="200">
        <v>242</v>
      </c>
      <c r="I20" s="206">
        <v>197302.01608579088</v>
      </c>
      <c r="J20" s="209"/>
      <c r="K20" s="209"/>
      <c r="L20" s="207">
        <f t="shared" si="0"/>
        <v>197302.01608579088</v>
      </c>
      <c r="M20" s="206">
        <v>87016.017962306927</v>
      </c>
      <c r="N20" s="204"/>
      <c r="O20" s="199" t="s">
        <v>84</v>
      </c>
      <c r="P20" s="199" t="s">
        <v>22</v>
      </c>
      <c r="Q20" s="199" t="s">
        <v>23</v>
      </c>
    </row>
    <row r="21" spans="1:17" x14ac:dyDescent="0.25">
      <c r="A21" s="198" t="s">
        <v>27</v>
      </c>
      <c r="B21" s="199" t="s">
        <v>16</v>
      </c>
      <c r="C21" s="199" t="s">
        <v>45</v>
      </c>
      <c r="D21" s="200">
        <v>55714</v>
      </c>
      <c r="E21" s="199" t="s">
        <v>48</v>
      </c>
      <c r="F21" s="199" t="s">
        <v>30</v>
      </c>
      <c r="G21" s="199" t="s">
        <v>31</v>
      </c>
      <c r="H21" s="200">
        <v>242</v>
      </c>
      <c r="I21" s="206">
        <v>197302.01608579088</v>
      </c>
      <c r="J21" s="209"/>
      <c r="K21" s="209"/>
      <c r="L21" s="207">
        <f t="shared" si="0"/>
        <v>197302.01608579088</v>
      </c>
      <c r="M21" s="206">
        <v>87016.017962306927</v>
      </c>
      <c r="N21" s="204"/>
      <c r="O21" s="199" t="s">
        <v>84</v>
      </c>
      <c r="P21" s="199" t="s">
        <v>22</v>
      </c>
      <c r="Q21" s="199" t="s">
        <v>23</v>
      </c>
    </row>
    <row r="22" spans="1:17" x14ac:dyDescent="0.25">
      <c r="A22" s="198" t="s">
        <v>27</v>
      </c>
      <c r="B22" s="199" t="s">
        <v>16</v>
      </c>
      <c r="C22" s="199" t="s">
        <v>45</v>
      </c>
      <c r="D22" s="200">
        <v>55714</v>
      </c>
      <c r="E22" s="199" t="s">
        <v>49</v>
      </c>
      <c r="F22" s="199" t="s">
        <v>30</v>
      </c>
      <c r="G22" s="199" t="s">
        <v>34</v>
      </c>
      <c r="H22" s="200">
        <v>262</v>
      </c>
      <c r="I22" s="206">
        <v>213607.96782841824</v>
      </c>
      <c r="J22" s="209"/>
      <c r="K22" s="209"/>
      <c r="L22" s="207">
        <f t="shared" si="0"/>
        <v>213607.96782841824</v>
      </c>
      <c r="M22" s="206">
        <v>94207.42440547279</v>
      </c>
      <c r="N22" s="198"/>
      <c r="O22" s="199" t="s">
        <v>84</v>
      </c>
      <c r="P22" s="199" t="s">
        <v>22</v>
      </c>
      <c r="Q22" s="199" t="s">
        <v>23</v>
      </c>
    </row>
    <row r="23" spans="1:17" x14ac:dyDescent="0.25">
      <c r="A23" s="198" t="s">
        <v>27</v>
      </c>
      <c r="B23" s="199" t="s">
        <v>16</v>
      </c>
      <c r="C23" s="199" t="s">
        <v>83</v>
      </c>
      <c r="D23" s="200">
        <v>55418</v>
      </c>
      <c r="E23" s="199" t="s">
        <v>51</v>
      </c>
      <c r="F23" s="199" t="s">
        <v>30</v>
      </c>
      <c r="G23" s="199" t="s">
        <v>31</v>
      </c>
      <c r="H23" s="200">
        <v>198.9</v>
      </c>
      <c r="I23" s="206">
        <v>314642.93746502523</v>
      </c>
      <c r="J23" s="205"/>
      <c r="K23" s="205"/>
      <c r="L23" s="207">
        <f t="shared" si="0"/>
        <v>314642.93746502523</v>
      </c>
      <c r="M23" s="206">
        <v>133862.39188388363</v>
      </c>
      <c r="N23" s="198"/>
      <c r="O23" s="199" t="s">
        <v>84</v>
      </c>
      <c r="P23" s="199" t="s">
        <v>22</v>
      </c>
      <c r="Q23" s="199" t="s">
        <v>23</v>
      </c>
    </row>
    <row r="24" spans="1:17" x14ac:dyDescent="0.25">
      <c r="A24" s="198" t="s">
        <v>27</v>
      </c>
      <c r="B24" s="199" t="s">
        <v>16</v>
      </c>
      <c r="C24" s="199" t="s">
        <v>83</v>
      </c>
      <c r="D24" s="200">
        <v>55418</v>
      </c>
      <c r="E24" s="199" t="s">
        <v>52</v>
      </c>
      <c r="F24" s="199" t="s">
        <v>30</v>
      </c>
      <c r="G24" s="199" t="s">
        <v>31</v>
      </c>
      <c r="H24" s="200">
        <v>198.9</v>
      </c>
      <c r="I24" s="206">
        <v>314642.93746502523</v>
      </c>
      <c r="J24" s="198"/>
      <c r="K24" s="198"/>
      <c r="L24" s="207">
        <f t="shared" si="0"/>
        <v>314642.93746502523</v>
      </c>
      <c r="M24" s="206">
        <v>133862.39188388363</v>
      </c>
      <c r="N24" s="198"/>
      <c r="O24" s="199" t="s">
        <v>84</v>
      </c>
      <c r="P24" s="199" t="s">
        <v>22</v>
      </c>
      <c r="Q24" s="199" t="s">
        <v>23</v>
      </c>
    </row>
    <row r="25" spans="1:17" x14ac:dyDescent="0.25">
      <c r="A25" s="198" t="s">
        <v>27</v>
      </c>
      <c r="B25" s="199" t="s">
        <v>16</v>
      </c>
      <c r="C25" s="199" t="s">
        <v>83</v>
      </c>
      <c r="D25" s="200">
        <v>55418</v>
      </c>
      <c r="E25" s="199" t="s">
        <v>49</v>
      </c>
      <c r="F25" s="199" t="s">
        <v>30</v>
      </c>
      <c r="G25" s="199" t="s">
        <v>34</v>
      </c>
      <c r="H25" s="200">
        <v>317</v>
      </c>
      <c r="I25" s="206">
        <v>501467.12506994966</v>
      </c>
      <c r="J25" s="198"/>
      <c r="K25" s="198"/>
      <c r="L25" s="207">
        <f t="shared" si="0"/>
        <v>501467.12506994966</v>
      </c>
      <c r="M25" s="206">
        <v>213345.2902322328</v>
      </c>
      <c r="N25" s="198"/>
      <c r="O25" s="199" t="s">
        <v>84</v>
      </c>
      <c r="P25" s="199" t="s">
        <v>22</v>
      </c>
      <c r="Q25" s="199" t="s">
        <v>23</v>
      </c>
    </row>
    <row r="26" spans="1:17" x14ac:dyDescent="0.25">
      <c r="A26" s="198" t="s">
        <v>27</v>
      </c>
      <c r="B26" s="199" t="s">
        <v>16</v>
      </c>
      <c r="C26" s="199" t="s">
        <v>53</v>
      </c>
      <c r="D26" s="200">
        <v>55075</v>
      </c>
      <c r="E26" s="199" t="s">
        <v>54</v>
      </c>
      <c r="F26" s="199" t="s">
        <v>30</v>
      </c>
      <c r="G26" s="199" t="s">
        <v>31</v>
      </c>
      <c r="H26" s="200">
        <v>180</v>
      </c>
      <c r="I26" s="206">
        <v>1093232.2881355933</v>
      </c>
      <c r="J26" s="210">
        <v>0.53339788726964754</v>
      </c>
      <c r="K26" s="211">
        <f>(4/3)*3.412*I26*(1/J26-1)</f>
        <v>4350664.7468247591</v>
      </c>
      <c r="L26" s="211">
        <f>I26+ 0.75*K26/3.412</f>
        <v>2049562.4640202853</v>
      </c>
      <c r="M26" s="206">
        <v>628915.11864406778</v>
      </c>
      <c r="N26" s="198"/>
      <c r="O26" s="199" t="s">
        <v>55</v>
      </c>
      <c r="P26" s="199" t="s">
        <v>56</v>
      </c>
      <c r="Q26" s="199" t="s">
        <v>23</v>
      </c>
    </row>
    <row r="27" spans="1:17" x14ac:dyDescent="0.25">
      <c r="A27" s="198" t="s">
        <v>27</v>
      </c>
      <c r="B27" s="199" t="s">
        <v>16</v>
      </c>
      <c r="C27" s="199" t="s">
        <v>53</v>
      </c>
      <c r="D27" s="200">
        <v>55075</v>
      </c>
      <c r="E27" s="199" t="s">
        <v>57</v>
      </c>
      <c r="F27" s="199" t="s">
        <v>30</v>
      </c>
      <c r="G27" s="199" t="s">
        <v>34</v>
      </c>
      <c r="H27" s="200">
        <v>56</v>
      </c>
      <c r="I27" s="206">
        <v>340116.71186440677</v>
      </c>
      <c r="J27" s="210">
        <v>0.53339788726964754</v>
      </c>
      <c r="K27" s="211">
        <f>(4/3)*3.412*I27*(1/J27-1)</f>
        <v>1353540.1434565915</v>
      </c>
      <c r="L27" s="211">
        <f>I27+ 0.75*K27/3.412</f>
        <v>637641.65547297755</v>
      </c>
      <c r="M27" s="206">
        <v>195662.48135593222</v>
      </c>
      <c r="N27" s="198"/>
      <c r="O27" s="199" t="s">
        <v>55</v>
      </c>
      <c r="P27" s="199" t="s">
        <v>56</v>
      </c>
      <c r="Q27" s="199" t="s">
        <v>23</v>
      </c>
    </row>
    <row r="28" spans="1:17" x14ac:dyDescent="0.25">
      <c r="A28" s="198" t="s">
        <v>27</v>
      </c>
      <c r="B28" s="199" t="s">
        <v>16</v>
      </c>
      <c r="C28" s="199" t="s">
        <v>58</v>
      </c>
      <c r="D28" s="200">
        <v>201</v>
      </c>
      <c r="E28" s="199">
        <v>1</v>
      </c>
      <c r="F28" s="199" t="s">
        <v>30</v>
      </c>
      <c r="G28" s="199" t="s">
        <v>34</v>
      </c>
      <c r="H28" s="200">
        <v>59</v>
      </c>
      <c r="I28" s="206">
        <v>29791.491891891892</v>
      </c>
      <c r="J28" s="198"/>
      <c r="K28" s="198"/>
      <c r="L28" s="207">
        <f t="shared" ref="L28:L54" si="1">I28</f>
        <v>29791.491891891892</v>
      </c>
      <c r="M28" s="206">
        <v>16769.806637837839</v>
      </c>
      <c r="N28" s="198"/>
      <c r="O28" s="199" t="s">
        <v>21</v>
      </c>
      <c r="P28" s="199" t="s">
        <v>22</v>
      </c>
      <c r="Q28" s="199" t="s">
        <v>23</v>
      </c>
    </row>
    <row r="29" spans="1:17" x14ac:dyDescent="0.25">
      <c r="A29" s="198" t="s">
        <v>27</v>
      </c>
      <c r="B29" s="199" t="s">
        <v>16</v>
      </c>
      <c r="C29" s="199" t="s">
        <v>58</v>
      </c>
      <c r="D29" s="200">
        <v>201</v>
      </c>
      <c r="E29" s="199">
        <v>2</v>
      </c>
      <c r="F29" s="199" t="s">
        <v>30</v>
      </c>
      <c r="G29" s="199" t="s">
        <v>31</v>
      </c>
      <c r="H29" s="200">
        <v>126</v>
      </c>
      <c r="I29" s="206">
        <v>63622.508108108108</v>
      </c>
      <c r="J29" s="198"/>
      <c r="K29" s="198"/>
      <c r="L29" s="207">
        <f t="shared" si="1"/>
        <v>63622.508108108108</v>
      </c>
      <c r="M29" s="206">
        <v>35813.485362162166</v>
      </c>
      <c r="N29" s="198"/>
      <c r="O29" s="199" t="s">
        <v>21</v>
      </c>
      <c r="P29" s="199" t="s">
        <v>22</v>
      </c>
      <c r="Q29" s="199" t="s">
        <v>23</v>
      </c>
    </row>
    <row r="30" spans="1:17" x14ac:dyDescent="0.25">
      <c r="A30" s="198" t="s">
        <v>27</v>
      </c>
      <c r="B30" s="199" t="s">
        <v>16</v>
      </c>
      <c r="C30" s="199" t="s">
        <v>59</v>
      </c>
      <c r="D30" s="200">
        <v>55380</v>
      </c>
      <c r="E30" s="199" t="s">
        <v>29</v>
      </c>
      <c r="F30" s="199" t="s">
        <v>30</v>
      </c>
      <c r="G30" s="199" t="s">
        <v>31</v>
      </c>
      <c r="H30" s="200">
        <v>176</v>
      </c>
      <c r="I30" s="206">
        <v>521198.77429983526</v>
      </c>
      <c r="J30" s="198"/>
      <c r="K30" s="198"/>
      <c r="L30" s="207">
        <f t="shared" si="1"/>
        <v>521198.77429983526</v>
      </c>
      <c r="M30" s="206">
        <v>233156.24334102141</v>
      </c>
      <c r="N30" s="198"/>
      <c r="O30" s="199" t="s">
        <v>84</v>
      </c>
      <c r="P30" s="199" t="s">
        <v>22</v>
      </c>
      <c r="Q30" s="199" t="s">
        <v>23</v>
      </c>
    </row>
    <row r="31" spans="1:17" x14ac:dyDescent="0.25">
      <c r="A31" s="198" t="s">
        <v>27</v>
      </c>
      <c r="B31" s="199" t="s">
        <v>16</v>
      </c>
      <c r="C31" s="199" t="s">
        <v>59</v>
      </c>
      <c r="D31" s="200">
        <v>55380</v>
      </c>
      <c r="E31" s="199" t="s">
        <v>32</v>
      </c>
      <c r="F31" s="199" t="s">
        <v>30</v>
      </c>
      <c r="G31" s="199" t="s">
        <v>31</v>
      </c>
      <c r="H31" s="200">
        <v>176</v>
      </c>
      <c r="I31" s="206">
        <v>521198.77429983526</v>
      </c>
      <c r="J31" s="198"/>
      <c r="K31" s="198"/>
      <c r="L31" s="207">
        <f t="shared" si="1"/>
        <v>521198.77429983526</v>
      </c>
      <c r="M31" s="206">
        <v>233156.24334102141</v>
      </c>
      <c r="N31" s="198"/>
      <c r="O31" s="199" t="s">
        <v>84</v>
      </c>
      <c r="P31" s="199" t="s">
        <v>22</v>
      </c>
      <c r="Q31" s="199" t="s">
        <v>23</v>
      </c>
    </row>
    <row r="32" spans="1:17" x14ac:dyDescent="0.25">
      <c r="A32" s="198" t="s">
        <v>27</v>
      </c>
      <c r="B32" s="199" t="s">
        <v>16</v>
      </c>
      <c r="C32" s="199" t="s">
        <v>59</v>
      </c>
      <c r="D32" s="200">
        <v>55380</v>
      </c>
      <c r="E32" s="199" t="s">
        <v>60</v>
      </c>
      <c r="F32" s="199" t="s">
        <v>30</v>
      </c>
      <c r="G32" s="199" t="s">
        <v>31</v>
      </c>
      <c r="H32" s="200">
        <v>176</v>
      </c>
      <c r="I32" s="206">
        <v>521198.77429983526</v>
      </c>
      <c r="J32" s="198"/>
      <c r="K32" s="198"/>
      <c r="L32" s="207">
        <f t="shared" si="1"/>
        <v>521198.77429983526</v>
      </c>
      <c r="M32" s="206">
        <v>233156.24334102141</v>
      </c>
      <c r="N32" s="198"/>
      <c r="O32" s="199" t="s">
        <v>84</v>
      </c>
      <c r="P32" s="199" t="s">
        <v>22</v>
      </c>
      <c r="Q32" s="199" t="s">
        <v>23</v>
      </c>
    </row>
    <row r="33" spans="1:17" x14ac:dyDescent="0.25">
      <c r="A33" s="198" t="s">
        <v>27</v>
      </c>
      <c r="B33" s="199" t="s">
        <v>16</v>
      </c>
      <c r="C33" s="199" t="s">
        <v>59</v>
      </c>
      <c r="D33" s="200">
        <v>55380</v>
      </c>
      <c r="E33" s="199" t="s">
        <v>61</v>
      </c>
      <c r="F33" s="199" t="s">
        <v>30</v>
      </c>
      <c r="G33" s="199" t="s">
        <v>31</v>
      </c>
      <c r="H33" s="200">
        <v>176</v>
      </c>
      <c r="I33" s="206">
        <v>521198.77429983526</v>
      </c>
      <c r="J33" s="198"/>
      <c r="K33" s="198"/>
      <c r="L33" s="207">
        <f t="shared" si="1"/>
        <v>521198.77429983526</v>
      </c>
      <c r="M33" s="206">
        <v>233156.24334102141</v>
      </c>
      <c r="N33" s="198"/>
      <c r="O33" s="199" t="s">
        <v>84</v>
      </c>
      <c r="P33" s="199" t="s">
        <v>22</v>
      </c>
      <c r="Q33" s="199" t="s">
        <v>23</v>
      </c>
    </row>
    <row r="34" spans="1:17" x14ac:dyDescent="0.25">
      <c r="A34" s="198" t="s">
        <v>27</v>
      </c>
      <c r="B34" s="199" t="s">
        <v>16</v>
      </c>
      <c r="C34" s="199" t="s">
        <v>59</v>
      </c>
      <c r="D34" s="200">
        <v>55380</v>
      </c>
      <c r="E34" s="199" t="s">
        <v>62</v>
      </c>
      <c r="F34" s="199" t="s">
        <v>30</v>
      </c>
      <c r="G34" s="199" t="s">
        <v>31</v>
      </c>
      <c r="H34" s="200">
        <v>176</v>
      </c>
      <c r="I34" s="206">
        <v>521198.77429983526</v>
      </c>
      <c r="J34" s="198"/>
      <c r="K34" s="198"/>
      <c r="L34" s="207">
        <f t="shared" si="1"/>
        <v>521198.77429983526</v>
      </c>
      <c r="M34" s="206">
        <v>233156.24334102141</v>
      </c>
      <c r="N34" s="198"/>
      <c r="O34" s="199" t="s">
        <v>84</v>
      </c>
      <c r="P34" s="199" t="s">
        <v>22</v>
      </c>
      <c r="Q34" s="199" t="s">
        <v>23</v>
      </c>
    </row>
    <row r="35" spans="1:17" x14ac:dyDescent="0.25">
      <c r="A35" s="198" t="s">
        <v>27</v>
      </c>
      <c r="B35" s="199" t="s">
        <v>16</v>
      </c>
      <c r="C35" s="199" t="s">
        <v>59</v>
      </c>
      <c r="D35" s="200">
        <v>55380</v>
      </c>
      <c r="E35" s="199" t="s">
        <v>63</v>
      </c>
      <c r="F35" s="199" t="s">
        <v>30</v>
      </c>
      <c r="G35" s="199" t="s">
        <v>31</v>
      </c>
      <c r="H35" s="200">
        <v>176</v>
      </c>
      <c r="I35" s="206">
        <v>521198.77429983526</v>
      </c>
      <c r="J35" s="198"/>
      <c r="K35" s="198"/>
      <c r="L35" s="207">
        <f t="shared" si="1"/>
        <v>521198.77429983526</v>
      </c>
      <c r="M35" s="206">
        <v>233156.24334102141</v>
      </c>
      <c r="N35" s="198"/>
      <c r="O35" s="199" t="s">
        <v>84</v>
      </c>
      <c r="P35" s="199" t="s">
        <v>22</v>
      </c>
      <c r="Q35" s="199" t="s">
        <v>23</v>
      </c>
    </row>
    <row r="36" spans="1:17" x14ac:dyDescent="0.25">
      <c r="A36" s="198" t="s">
        <v>27</v>
      </c>
      <c r="B36" s="199" t="s">
        <v>16</v>
      </c>
      <c r="C36" s="199" t="s">
        <v>59</v>
      </c>
      <c r="D36" s="200">
        <v>55380</v>
      </c>
      <c r="E36" s="199" t="s">
        <v>64</v>
      </c>
      <c r="F36" s="199" t="s">
        <v>30</v>
      </c>
      <c r="G36" s="199" t="s">
        <v>31</v>
      </c>
      <c r="H36" s="200">
        <v>176</v>
      </c>
      <c r="I36" s="206">
        <v>521198.77429983526</v>
      </c>
      <c r="J36" s="198"/>
      <c r="K36" s="198"/>
      <c r="L36" s="207">
        <f t="shared" si="1"/>
        <v>521198.77429983526</v>
      </c>
      <c r="M36" s="206">
        <v>233156.24334102141</v>
      </c>
      <c r="N36" s="198"/>
      <c r="O36" s="199" t="s">
        <v>84</v>
      </c>
      <c r="P36" s="199" t="s">
        <v>22</v>
      </c>
      <c r="Q36" s="199" t="s">
        <v>23</v>
      </c>
    </row>
    <row r="37" spans="1:17" x14ac:dyDescent="0.25">
      <c r="A37" s="198" t="s">
        <v>27</v>
      </c>
      <c r="B37" s="199" t="s">
        <v>16</v>
      </c>
      <c r="C37" s="199" t="s">
        <v>59</v>
      </c>
      <c r="D37" s="200">
        <v>55380</v>
      </c>
      <c r="E37" s="199" t="s">
        <v>65</v>
      </c>
      <c r="F37" s="199" t="s">
        <v>30</v>
      </c>
      <c r="G37" s="199" t="s">
        <v>31</v>
      </c>
      <c r="H37" s="200">
        <v>176</v>
      </c>
      <c r="I37" s="206">
        <v>521198.77429983526</v>
      </c>
      <c r="J37" s="198"/>
      <c r="K37" s="198"/>
      <c r="L37" s="207">
        <f t="shared" si="1"/>
        <v>521198.77429983526</v>
      </c>
      <c r="M37" s="206">
        <v>233156.24334102141</v>
      </c>
      <c r="N37" s="198"/>
      <c r="O37" s="199" t="s">
        <v>84</v>
      </c>
      <c r="P37" s="199" t="s">
        <v>22</v>
      </c>
      <c r="Q37" s="199" t="s">
        <v>23</v>
      </c>
    </row>
    <row r="38" spans="1:17" x14ac:dyDescent="0.25">
      <c r="A38" s="198" t="s">
        <v>27</v>
      </c>
      <c r="B38" s="199" t="s">
        <v>16</v>
      </c>
      <c r="C38" s="199" t="s">
        <v>59</v>
      </c>
      <c r="D38" s="200">
        <v>55380</v>
      </c>
      <c r="E38" s="199" t="s">
        <v>66</v>
      </c>
      <c r="F38" s="199" t="s">
        <v>30</v>
      </c>
      <c r="G38" s="199" t="s">
        <v>34</v>
      </c>
      <c r="H38" s="200">
        <v>255</v>
      </c>
      <c r="I38" s="206">
        <v>755145.95140032948</v>
      </c>
      <c r="J38" s="198"/>
      <c r="K38" s="198"/>
      <c r="L38" s="207">
        <f t="shared" si="1"/>
        <v>755145.95140032948</v>
      </c>
      <c r="M38" s="206">
        <v>337811.60256795713</v>
      </c>
      <c r="N38" s="198"/>
      <c r="O38" s="199" t="s">
        <v>84</v>
      </c>
      <c r="P38" s="199" t="s">
        <v>22</v>
      </c>
      <c r="Q38" s="199" t="s">
        <v>23</v>
      </c>
    </row>
    <row r="39" spans="1:17" x14ac:dyDescent="0.25">
      <c r="A39" s="198" t="s">
        <v>27</v>
      </c>
      <c r="B39" s="199" t="s">
        <v>16</v>
      </c>
      <c r="C39" s="199" t="s">
        <v>59</v>
      </c>
      <c r="D39" s="200">
        <v>55380</v>
      </c>
      <c r="E39" s="199" t="s">
        <v>67</v>
      </c>
      <c r="F39" s="199" t="s">
        <v>30</v>
      </c>
      <c r="G39" s="199" t="s">
        <v>34</v>
      </c>
      <c r="H39" s="200">
        <v>255</v>
      </c>
      <c r="I39" s="206">
        <v>755145.95140032948</v>
      </c>
      <c r="J39" s="198"/>
      <c r="K39" s="198"/>
      <c r="L39" s="207">
        <f t="shared" si="1"/>
        <v>755145.95140032948</v>
      </c>
      <c r="M39" s="206">
        <v>337811.60256795713</v>
      </c>
      <c r="N39" s="198"/>
      <c r="O39" s="199" t="s">
        <v>84</v>
      </c>
      <c r="P39" s="199" t="s">
        <v>22</v>
      </c>
      <c r="Q39" s="199" t="s">
        <v>23</v>
      </c>
    </row>
    <row r="40" spans="1:17" x14ac:dyDescent="0.25">
      <c r="A40" s="198" t="s">
        <v>27</v>
      </c>
      <c r="B40" s="199" t="s">
        <v>16</v>
      </c>
      <c r="C40" s="199" t="s">
        <v>59</v>
      </c>
      <c r="D40" s="200">
        <v>55380</v>
      </c>
      <c r="E40" s="199" t="s">
        <v>68</v>
      </c>
      <c r="F40" s="199" t="s">
        <v>30</v>
      </c>
      <c r="G40" s="199" t="s">
        <v>34</v>
      </c>
      <c r="H40" s="200">
        <v>255</v>
      </c>
      <c r="I40" s="206">
        <v>755145.95140032948</v>
      </c>
      <c r="J40" s="198"/>
      <c r="K40" s="198"/>
      <c r="L40" s="207">
        <f t="shared" si="1"/>
        <v>755145.95140032948</v>
      </c>
      <c r="M40" s="206">
        <v>337811.60256795713</v>
      </c>
      <c r="N40" s="198"/>
      <c r="O40" s="199" t="s">
        <v>84</v>
      </c>
      <c r="P40" s="199" t="s">
        <v>22</v>
      </c>
      <c r="Q40" s="199" t="s">
        <v>23</v>
      </c>
    </row>
    <row r="41" spans="1:17" x14ac:dyDescent="0.25">
      <c r="A41" s="198" t="s">
        <v>27</v>
      </c>
      <c r="B41" s="199" t="s">
        <v>16</v>
      </c>
      <c r="C41" s="199" t="s">
        <v>59</v>
      </c>
      <c r="D41" s="200">
        <v>55380</v>
      </c>
      <c r="E41" s="199" t="s">
        <v>69</v>
      </c>
      <c r="F41" s="199" t="s">
        <v>30</v>
      </c>
      <c r="G41" s="199" t="s">
        <v>34</v>
      </c>
      <c r="H41" s="200">
        <v>255</v>
      </c>
      <c r="I41" s="206">
        <v>755145.95140032948</v>
      </c>
      <c r="J41" s="198"/>
      <c r="K41" s="198"/>
      <c r="L41" s="207">
        <f t="shared" si="1"/>
        <v>755145.95140032948</v>
      </c>
      <c r="M41" s="206">
        <v>337811.60256795713</v>
      </c>
      <c r="N41" s="198"/>
      <c r="O41" s="199" t="s">
        <v>84</v>
      </c>
      <c r="P41" s="199" t="s">
        <v>22</v>
      </c>
      <c r="Q41" s="199" t="s">
        <v>23</v>
      </c>
    </row>
    <row r="42" spans="1:17" x14ac:dyDescent="0.25">
      <c r="A42" s="198" t="s">
        <v>70</v>
      </c>
      <c r="B42" s="199" t="s">
        <v>16</v>
      </c>
      <c r="C42" s="199" t="s">
        <v>71</v>
      </c>
      <c r="D42" s="200">
        <v>202</v>
      </c>
      <c r="E42" s="199">
        <v>1</v>
      </c>
      <c r="F42" s="199" t="s">
        <v>30</v>
      </c>
      <c r="G42" s="199" t="s">
        <v>20</v>
      </c>
      <c r="H42" s="200">
        <v>120</v>
      </c>
      <c r="I42" s="201">
        <v>68294</v>
      </c>
      <c r="J42" s="202"/>
      <c r="K42" s="202"/>
      <c r="L42" s="203">
        <f t="shared" si="1"/>
        <v>68294</v>
      </c>
      <c r="M42" s="201">
        <v>41464.99</v>
      </c>
      <c r="N42" s="204"/>
      <c r="O42" s="199" t="s">
        <v>21</v>
      </c>
      <c r="P42" s="199" t="s">
        <v>22</v>
      </c>
      <c r="Q42" s="199" t="s">
        <v>23</v>
      </c>
    </row>
    <row r="43" spans="1:17" x14ac:dyDescent="0.25">
      <c r="A43" s="198" t="s">
        <v>70</v>
      </c>
      <c r="B43" s="199" t="s">
        <v>16</v>
      </c>
      <c r="C43" s="199" t="s">
        <v>72</v>
      </c>
      <c r="D43" s="200">
        <v>167</v>
      </c>
      <c r="E43" s="199">
        <v>2</v>
      </c>
      <c r="F43" s="199" t="s">
        <v>30</v>
      </c>
      <c r="G43" s="199" t="s">
        <v>20</v>
      </c>
      <c r="H43" s="200">
        <v>69</v>
      </c>
      <c r="I43" s="201">
        <v>-297</v>
      </c>
      <c r="J43" s="202"/>
      <c r="K43" s="202"/>
      <c r="L43" s="203">
        <f t="shared" si="1"/>
        <v>-297</v>
      </c>
      <c r="M43" s="201">
        <v>0</v>
      </c>
      <c r="N43" s="204"/>
      <c r="O43" s="199" t="s">
        <v>21</v>
      </c>
      <c r="P43" s="199" t="s">
        <v>22</v>
      </c>
      <c r="Q43" s="199" t="s">
        <v>73</v>
      </c>
    </row>
    <row r="44" spans="1:17" x14ac:dyDescent="0.25">
      <c r="A44" s="198" t="s">
        <v>70</v>
      </c>
      <c r="B44" s="199" t="s">
        <v>16</v>
      </c>
      <c r="C44" s="199" t="s">
        <v>72</v>
      </c>
      <c r="D44" s="200">
        <v>167</v>
      </c>
      <c r="E44" s="199">
        <v>3</v>
      </c>
      <c r="F44" s="199" t="s">
        <v>30</v>
      </c>
      <c r="G44" s="199" t="s">
        <v>20</v>
      </c>
      <c r="H44" s="200">
        <v>156.19999999999999</v>
      </c>
      <c r="I44" s="201">
        <v>112860</v>
      </c>
      <c r="J44" s="202"/>
      <c r="K44" s="202"/>
      <c r="L44" s="203">
        <f t="shared" si="1"/>
        <v>112860</v>
      </c>
      <c r="M44" s="201">
        <v>94139.209000000003</v>
      </c>
      <c r="N44" s="204"/>
      <c r="O44" s="199" t="s">
        <v>21</v>
      </c>
      <c r="P44" s="199" t="s">
        <v>22</v>
      </c>
      <c r="Q44" s="199" t="s">
        <v>23</v>
      </c>
    </row>
    <row r="45" spans="1:17" x14ac:dyDescent="0.25">
      <c r="A45" s="198" t="s">
        <v>70</v>
      </c>
      <c r="B45" s="199" t="s">
        <v>16</v>
      </c>
      <c r="C45" s="199" t="s">
        <v>75</v>
      </c>
      <c r="D45" s="200">
        <v>168</v>
      </c>
      <c r="E45" s="199">
        <v>1</v>
      </c>
      <c r="F45" s="199" t="s">
        <v>30</v>
      </c>
      <c r="G45" s="199" t="s">
        <v>20</v>
      </c>
      <c r="H45" s="200">
        <v>69</v>
      </c>
      <c r="I45" s="201" t="s">
        <v>85</v>
      </c>
      <c r="J45" s="202"/>
      <c r="K45" s="202"/>
      <c r="L45" s="203" t="str">
        <f t="shared" si="1"/>
        <v>No Data</v>
      </c>
      <c r="M45" s="201" t="s">
        <v>85</v>
      </c>
      <c r="N45" s="204"/>
      <c r="O45" s="199" t="s">
        <v>21</v>
      </c>
      <c r="P45" s="199" t="s">
        <v>22</v>
      </c>
      <c r="Q45" s="199" t="s">
        <v>73</v>
      </c>
    </row>
    <row r="46" spans="1:17" x14ac:dyDescent="0.25">
      <c r="A46" s="198" t="s">
        <v>70</v>
      </c>
      <c r="B46" s="199" t="s">
        <v>16</v>
      </c>
      <c r="C46" s="199" t="s">
        <v>75</v>
      </c>
      <c r="D46" s="200">
        <v>168</v>
      </c>
      <c r="E46" s="199">
        <v>2</v>
      </c>
      <c r="F46" s="199" t="s">
        <v>30</v>
      </c>
      <c r="G46" s="199" t="s">
        <v>20</v>
      </c>
      <c r="H46" s="200">
        <v>69</v>
      </c>
      <c r="I46" s="201" t="s">
        <v>85</v>
      </c>
      <c r="J46" s="202"/>
      <c r="K46" s="202"/>
      <c r="L46" s="203" t="str">
        <f t="shared" si="1"/>
        <v>No Data</v>
      </c>
      <c r="M46" s="201" t="s">
        <v>85</v>
      </c>
      <c r="N46" s="204"/>
      <c r="O46" s="199" t="s">
        <v>21</v>
      </c>
      <c r="P46" s="199" t="s">
        <v>22</v>
      </c>
      <c r="Q46" s="199" t="s">
        <v>73</v>
      </c>
    </row>
    <row r="47" spans="1:17" x14ac:dyDescent="0.25">
      <c r="A47" s="198" t="s">
        <v>70</v>
      </c>
      <c r="B47" s="199" t="s">
        <v>16</v>
      </c>
      <c r="C47" s="199" t="s">
        <v>77</v>
      </c>
      <c r="D47" s="200">
        <v>169</v>
      </c>
      <c r="E47" s="199">
        <v>2</v>
      </c>
      <c r="F47" s="199" t="s">
        <v>30</v>
      </c>
      <c r="G47" s="199" t="s">
        <v>20</v>
      </c>
      <c r="H47" s="200">
        <v>156.19999999999999</v>
      </c>
      <c r="I47" s="201">
        <v>21817</v>
      </c>
      <c r="J47" s="212"/>
      <c r="K47" s="212"/>
      <c r="L47" s="203">
        <f t="shared" si="1"/>
        <v>21817</v>
      </c>
      <c r="M47" s="201">
        <v>18035.195</v>
      </c>
      <c r="N47" s="204"/>
      <c r="O47" s="199" t="s">
        <v>21</v>
      </c>
      <c r="P47" s="199" t="s">
        <v>22</v>
      </c>
      <c r="Q47" s="199" t="s">
        <v>23</v>
      </c>
    </row>
    <row r="48" spans="1:17" x14ac:dyDescent="0.25">
      <c r="A48" s="198" t="s">
        <v>70</v>
      </c>
      <c r="B48" s="199" t="s">
        <v>16</v>
      </c>
      <c r="C48" s="199" t="s">
        <v>78</v>
      </c>
      <c r="D48" s="200">
        <v>170</v>
      </c>
      <c r="E48" s="199">
        <v>1</v>
      </c>
      <c r="F48" s="199" t="s">
        <v>30</v>
      </c>
      <c r="G48" s="199" t="s">
        <v>20</v>
      </c>
      <c r="H48" s="200">
        <v>40</v>
      </c>
      <c r="I48" s="201">
        <v>-388</v>
      </c>
      <c r="J48" s="198"/>
      <c r="K48" s="198"/>
      <c r="L48" s="203">
        <f t="shared" si="1"/>
        <v>-388</v>
      </c>
      <c r="M48" s="201">
        <v>405.60899999999998</v>
      </c>
      <c r="N48" s="198"/>
      <c r="O48" s="199" t="s">
        <v>21</v>
      </c>
      <c r="P48" s="199" t="s">
        <v>22</v>
      </c>
      <c r="Q48" s="199" t="s">
        <v>76</v>
      </c>
    </row>
    <row r="49" spans="1:17" x14ac:dyDescent="0.25">
      <c r="A49" s="198" t="s">
        <v>70</v>
      </c>
      <c r="B49" s="199" t="s">
        <v>16</v>
      </c>
      <c r="C49" s="199" t="s">
        <v>78</v>
      </c>
      <c r="D49" s="200">
        <v>170</v>
      </c>
      <c r="E49" s="199">
        <v>2</v>
      </c>
      <c r="F49" s="199" t="s">
        <v>30</v>
      </c>
      <c r="G49" s="199" t="s">
        <v>20</v>
      </c>
      <c r="H49" s="200">
        <v>40</v>
      </c>
      <c r="I49" s="201">
        <v>0</v>
      </c>
      <c r="J49" s="198"/>
      <c r="K49" s="198"/>
      <c r="L49" s="203">
        <f t="shared" si="1"/>
        <v>0</v>
      </c>
      <c r="M49" s="201">
        <v>67.12</v>
      </c>
      <c r="N49" s="198"/>
      <c r="O49" s="199" t="s">
        <v>21</v>
      </c>
      <c r="P49" s="199" t="s">
        <v>22</v>
      </c>
      <c r="Q49" s="199" t="s">
        <v>76</v>
      </c>
    </row>
    <row r="50" spans="1:17" x14ac:dyDescent="0.25">
      <c r="A50" s="198" t="s">
        <v>70</v>
      </c>
      <c r="B50" s="199" t="s">
        <v>16</v>
      </c>
      <c r="C50" s="199" t="s">
        <v>78</v>
      </c>
      <c r="D50" s="200">
        <v>170</v>
      </c>
      <c r="E50" s="199">
        <v>3</v>
      </c>
      <c r="F50" s="199" t="s">
        <v>30</v>
      </c>
      <c r="G50" s="199" t="s">
        <v>20</v>
      </c>
      <c r="H50" s="200">
        <v>119.5</v>
      </c>
      <c r="I50" s="201">
        <v>-1943</v>
      </c>
      <c r="J50" s="198"/>
      <c r="K50" s="198"/>
      <c r="L50" s="203">
        <f t="shared" si="1"/>
        <v>-1943</v>
      </c>
      <c r="M50" s="201">
        <v>461.03899999999999</v>
      </c>
      <c r="N50" s="198"/>
      <c r="O50" s="199" t="s">
        <v>21</v>
      </c>
      <c r="P50" s="199" t="s">
        <v>22</v>
      </c>
      <c r="Q50" s="199" t="s">
        <v>76</v>
      </c>
    </row>
    <row r="51" spans="1:17" x14ac:dyDescent="0.25">
      <c r="A51" s="198" t="s">
        <v>70</v>
      </c>
      <c r="B51" s="199" t="s">
        <v>16</v>
      </c>
      <c r="C51" s="199" t="s">
        <v>78</v>
      </c>
      <c r="D51" s="200">
        <v>170</v>
      </c>
      <c r="E51" s="199">
        <v>4</v>
      </c>
      <c r="F51" s="199" t="s">
        <v>30</v>
      </c>
      <c r="G51" s="199" t="s">
        <v>20</v>
      </c>
      <c r="H51" s="200">
        <v>552.5</v>
      </c>
      <c r="I51" s="201">
        <v>107770</v>
      </c>
      <c r="J51" s="198"/>
      <c r="K51" s="198"/>
      <c r="L51" s="203">
        <f t="shared" si="1"/>
        <v>107770</v>
      </c>
      <c r="M51" s="201">
        <v>89073.695999999996</v>
      </c>
      <c r="N51" s="198"/>
      <c r="O51" s="199" t="s">
        <v>21</v>
      </c>
      <c r="P51" s="199" t="s">
        <v>22</v>
      </c>
      <c r="Q51" s="199" t="s">
        <v>23</v>
      </c>
    </row>
    <row r="52" spans="1:17" x14ac:dyDescent="0.25">
      <c r="A52" s="198" t="s">
        <v>70</v>
      </c>
      <c r="B52" s="199" t="s">
        <v>16</v>
      </c>
      <c r="C52" s="199" t="s">
        <v>80</v>
      </c>
      <c r="D52" s="200">
        <v>203</v>
      </c>
      <c r="E52" s="199">
        <v>1</v>
      </c>
      <c r="F52" s="199" t="s">
        <v>30</v>
      </c>
      <c r="G52" s="199" t="s">
        <v>20</v>
      </c>
      <c r="H52" s="200">
        <v>136</v>
      </c>
      <c r="I52" s="201">
        <v>229685</v>
      </c>
      <c r="J52" s="198"/>
      <c r="K52" s="198"/>
      <c r="L52" s="203">
        <f t="shared" si="1"/>
        <v>229685</v>
      </c>
      <c r="M52" s="201">
        <v>160926.57399999999</v>
      </c>
      <c r="N52" s="198"/>
      <c r="O52" s="199" t="s">
        <v>21</v>
      </c>
      <c r="P52" s="199" t="s">
        <v>22</v>
      </c>
      <c r="Q52" s="199" t="s">
        <v>23</v>
      </c>
    </row>
    <row r="53" spans="1:17" x14ac:dyDescent="0.25">
      <c r="A53" s="198" t="s">
        <v>70</v>
      </c>
      <c r="B53" s="199" t="s">
        <v>16</v>
      </c>
      <c r="C53" s="199" t="s">
        <v>81</v>
      </c>
      <c r="D53" s="200">
        <v>173</v>
      </c>
      <c r="E53" s="199">
        <v>1</v>
      </c>
      <c r="F53" s="199" t="s">
        <v>30</v>
      </c>
      <c r="G53" s="199" t="s">
        <v>20</v>
      </c>
      <c r="H53" s="200">
        <v>359</v>
      </c>
      <c r="I53" s="201">
        <v>-74</v>
      </c>
      <c r="J53" s="198"/>
      <c r="K53" s="198"/>
      <c r="L53" s="203">
        <f t="shared" si="1"/>
        <v>-74</v>
      </c>
      <c r="M53" s="201">
        <v>0</v>
      </c>
      <c r="N53" s="198"/>
      <c r="O53" s="199" t="s">
        <v>21</v>
      </c>
      <c r="P53" s="199" t="s">
        <v>22</v>
      </c>
      <c r="Q53" s="199" t="s">
        <v>73</v>
      </c>
    </row>
    <row r="54" spans="1:17" x14ac:dyDescent="0.25">
      <c r="A54" s="198" t="s">
        <v>70</v>
      </c>
      <c r="B54" s="199" t="s">
        <v>16</v>
      </c>
      <c r="C54" s="199" t="s">
        <v>81</v>
      </c>
      <c r="D54" s="200">
        <v>173</v>
      </c>
      <c r="E54" s="199">
        <v>2</v>
      </c>
      <c r="F54" s="199" t="s">
        <v>30</v>
      </c>
      <c r="G54" s="199" t="s">
        <v>20</v>
      </c>
      <c r="H54" s="200">
        <v>544.6</v>
      </c>
      <c r="I54" s="201">
        <v>-10</v>
      </c>
      <c r="J54" s="198"/>
      <c r="K54" s="198"/>
      <c r="L54" s="203">
        <f t="shared" si="1"/>
        <v>-10</v>
      </c>
      <c r="M54" s="201">
        <f>N51</f>
        <v>0</v>
      </c>
      <c r="N54" s="198"/>
      <c r="O54" s="199" t="s">
        <v>21</v>
      </c>
      <c r="P54" s="199" t="s">
        <v>22</v>
      </c>
      <c r="Q54" s="199" t="s">
        <v>76</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topLeftCell="B1" workbookViewId="0">
      <selection activeCell="O1" sqref="O1:O1048576"/>
    </sheetView>
  </sheetViews>
  <sheetFormatPr defaultRowHeight="15" x14ac:dyDescent="0.25"/>
  <cols>
    <col min="1" max="2" width="9.140625" style="197"/>
    <col min="3" max="3" width="26.85546875" style="197" bestFit="1" customWidth="1"/>
    <col min="4" max="4" width="9.42578125" style="197" bestFit="1" customWidth="1"/>
    <col min="5" max="7" width="9.140625" style="197"/>
    <col min="8" max="8" width="9.42578125" style="197" bestFit="1" customWidth="1"/>
    <col min="9" max="9" width="11.85546875" style="197" bestFit="1" customWidth="1"/>
    <col min="10" max="10" width="9.42578125" style="197" bestFit="1" customWidth="1"/>
    <col min="11" max="11" width="16.140625" style="197" bestFit="1" customWidth="1"/>
    <col min="12" max="12" width="10.42578125" style="197" bestFit="1" customWidth="1"/>
    <col min="13" max="13" width="9.42578125" style="197" bestFit="1" customWidth="1"/>
    <col min="14" max="14" width="9.140625" style="197"/>
    <col min="15" max="15" width="26" style="197" bestFit="1" customWidth="1"/>
    <col min="16" max="16384" width="9.140625" style="197"/>
  </cols>
  <sheetData>
    <row r="1" spans="1:17" ht="105" x14ac:dyDescent="0.25">
      <c r="A1" s="213" t="s">
        <v>0</v>
      </c>
      <c r="B1" s="213" t="s">
        <v>1</v>
      </c>
      <c r="C1" s="213" t="s">
        <v>2</v>
      </c>
      <c r="D1" s="214" t="s">
        <v>3</v>
      </c>
      <c r="E1" s="215" t="s">
        <v>4</v>
      </c>
      <c r="F1" s="216" t="s">
        <v>5</v>
      </c>
      <c r="G1" s="216" t="s">
        <v>6</v>
      </c>
      <c r="H1" s="214" t="s">
        <v>7</v>
      </c>
      <c r="I1" s="177" t="s">
        <v>8</v>
      </c>
      <c r="J1" s="217" t="s">
        <v>9</v>
      </c>
      <c r="K1" s="177" t="s">
        <v>228</v>
      </c>
      <c r="L1" s="177" t="s">
        <v>229</v>
      </c>
      <c r="M1" s="177" t="s">
        <v>10</v>
      </c>
      <c r="N1" s="216" t="s">
        <v>11</v>
      </c>
      <c r="O1" s="216" t="s">
        <v>12</v>
      </c>
      <c r="P1" s="216" t="s">
        <v>13</v>
      </c>
      <c r="Q1" s="216" t="s">
        <v>14</v>
      </c>
    </row>
    <row r="2" spans="1:17" x14ac:dyDescent="0.25">
      <c r="A2" s="218" t="s">
        <v>15</v>
      </c>
      <c r="B2" s="218" t="s">
        <v>16</v>
      </c>
      <c r="C2" s="218" t="s">
        <v>17</v>
      </c>
      <c r="D2" s="218">
        <v>6138</v>
      </c>
      <c r="E2" s="219" t="s">
        <v>18</v>
      </c>
      <c r="F2" s="218" t="s">
        <v>19</v>
      </c>
      <c r="G2" s="218" t="s">
        <v>20</v>
      </c>
      <c r="H2" s="220">
        <v>558</v>
      </c>
      <c r="I2" s="221">
        <v>3791093</v>
      </c>
      <c r="J2" s="222"/>
      <c r="K2" s="223"/>
      <c r="L2" s="223">
        <f t="shared" ref="L2:L8" si="0">I2+K2*0.75/3.412</f>
        <v>3791093</v>
      </c>
      <c r="M2" s="223">
        <v>4150943.8459999999</v>
      </c>
      <c r="N2" s="218"/>
      <c r="O2" s="218" t="s">
        <v>21</v>
      </c>
      <c r="P2" s="218" t="s">
        <v>22</v>
      </c>
      <c r="Q2" s="218" t="s">
        <v>23</v>
      </c>
    </row>
    <row r="3" spans="1:17" x14ac:dyDescent="0.25">
      <c r="A3" s="218" t="s">
        <v>15</v>
      </c>
      <c r="B3" s="218" t="s">
        <v>16</v>
      </c>
      <c r="C3" s="218" t="s">
        <v>24</v>
      </c>
      <c r="D3" s="218">
        <v>6641</v>
      </c>
      <c r="E3" s="219" t="s">
        <v>18</v>
      </c>
      <c r="F3" s="218" t="s">
        <v>19</v>
      </c>
      <c r="G3" s="218" t="s">
        <v>20</v>
      </c>
      <c r="H3" s="220">
        <v>900</v>
      </c>
      <c r="I3" s="221">
        <v>5293747</v>
      </c>
      <c r="J3" s="222"/>
      <c r="K3" s="223"/>
      <c r="L3" s="223">
        <f t="shared" si="0"/>
        <v>5293747</v>
      </c>
      <c r="M3" s="223">
        <v>5804742.983</v>
      </c>
      <c r="N3" s="218"/>
      <c r="O3" s="218" t="s">
        <v>21</v>
      </c>
      <c r="P3" s="218" t="s">
        <v>22</v>
      </c>
      <c r="Q3" s="218" t="s">
        <v>23</v>
      </c>
    </row>
    <row r="4" spans="1:17" x14ac:dyDescent="0.25">
      <c r="A4" s="218" t="s">
        <v>15</v>
      </c>
      <c r="B4" s="218" t="s">
        <v>16</v>
      </c>
      <c r="C4" s="218" t="s">
        <v>24</v>
      </c>
      <c r="D4" s="218">
        <v>6641</v>
      </c>
      <c r="E4" s="219" t="s">
        <v>25</v>
      </c>
      <c r="F4" s="218" t="s">
        <v>19</v>
      </c>
      <c r="G4" s="218" t="s">
        <v>20</v>
      </c>
      <c r="H4" s="220">
        <v>900</v>
      </c>
      <c r="I4" s="221">
        <v>5126271</v>
      </c>
      <c r="J4" s="222"/>
      <c r="K4" s="223"/>
      <c r="L4" s="223">
        <f t="shared" si="0"/>
        <v>5126271</v>
      </c>
      <c r="M4" s="223">
        <v>5996078.2340000002</v>
      </c>
      <c r="N4" s="218"/>
      <c r="O4" s="218" t="s">
        <v>21</v>
      </c>
      <c r="P4" s="218" t="s">
        <v>22</v>
      </c>
      <c r="Q4" s="218" t="s">
        <v>23</v>
      </c>
    </row>
    <row r="5" spans="1:17" x14ac:dyDescent="0.25">
      <c r="A5" s="218" t="s">
        <v>15</v>
      </c>
      <c r="B5" s="218" t="s">
        <v>16</v>
      </c>
      <c r="C5" s="218" t="s">
        <v>91</v>
      </c>
      <c r="D5" s="218">
        <v>56564</v>
      </c>
      <c r="E5" s="219" t="s">
        <v>18</v>
      </c>
      <c r="F5" s="218" t="s">
        <v>19</v>
      </c>
      <c r="G5" s="218" t="s">
        <v>20</v>
      </c>
      <c r="H5" s="220">
        <v>609</v>
      </c>
      <c r="I5" s="221">
        <v>294975</v>
      </c>
      <c r="J5" s="222"/>
      <c r="K5" s="223"/>
      <c r="L5" s="223">
        <f t="shared" si="0"/>
        <v>294975</v>
      </c>
      <c r="M5" s="223">
        <v>188785.64799999999</v>
      </c>
      <c r="N5" s="218"/>
      <c r="O5" s="218" t="s">
        <v>21</v>
      </c>
      <c r="P5" s="218" t="s">
        <v>22</v>
      </c>
      <c r="Q5" s="218" t="s">
        <v>23</v>
      </c>
    </row>
    <row r="6" spans="1:17" x14ac:dyDescent="0.25">
      <c r="A6" s="218" t="s">
        <v>15</v>
      </c>
      <c r="B6" s="218" t="s">
        <v>16</v>
      </c>
      <c r="C6" s="218" t="s">
        <v>82</v>
      </c>
      <c r="D6" s="218">
        <v>56456</v>
      </c>
      <c r="E6" s="219" t="s">
        <v>66</v>
      </c>
      <c r="F6" s="218" t="s">
        <v>19</v>
      </c>
      <c r="G6" s="218" t="s">
        <v>20</v>
      </c>
      <c r="H6" s="220">
        <v>720</v>
      </c>
      <c r="I6" s="221">
        <v>4366528</v>
      </c>
      <c r="J6" s="222"/>
      <c r="K6" s="223"/>
      <c r="L6" s="223">
        <f t="shared" si="0"/>
        <v>4366528</v>
      </c>
      <c r="M6" s="223">
        <v>4944118.0659999996</v>
      </c>
      <c r="N6" s="218"/>
      <c r="O6" s="218" t="s">
        <v>86</v>
      </c>
      <c r="P6" s="218" t="s">
        <v>22</v>
      </c>
      <c r="Q6" s="218" t="s">
        <v>23</v>
      </c>
    </row>
    <row r="7" spans="1:17" x14ac:dyDescent="0.25">
      <c r="A7" s="218" t="s">
        <v>15</v>
      </c>
      <c r="B7" s="218" t="s">
        <v>16</v>
      </c>
      <c r="C7" s="218" t="s">
        <v>26</v>
      </c>
      <c r="D7" s="218">
        <v>6009</v>
      </c>
      <c r="E7" s="219" t="s">
        <v>18</v>
      </c>
      <c r="F7" s="218" t="s">
        <v>19</v>
      </c>
      <c r="G7" s="218" t="s">
        <v>20</v>
      </c>
      <c r="H7" s="220">
        <v>900</v>
      </c>
      <c r="I7" s="221">
        <v>4500415</v>
      </c>
      <c r="J7" s="222"/>
      <c r="K7" s="223"/>
      <c r="L7" s="223">
        <f t="shared" si="0"/>
        <v>4500415</v>
      </c>
      <c r="M7" s="223">
        <v>5314861.5530000003</v>
      </c>
      <c r="N7" s="218"/>
      <c r="O7" s="218" t="s">
        <v>21</v>
      </c>
      <c r="P7" s="218" t="s">
        <v>22</v>
      </c>
      <c r="Q7" s="218" t="s">
        <v>23</v>
      </c>
    </row>
    <row r="8" spans="1:17" x14ac:dyDescent="0.25">
      <c r="A8" s="218" t="s">
        <v>15</v>
      </c>
      <c r="B8" s="218" t="s">
        <v>16</v>
      </c>
      <c r="C8" s="218" t="s">
        <v>26</v>
      </c>
      <c r="D8" s="218">
        <v>6009</v>
      </c>
      <c r="E8" s="219" t="s">
        <v>25</v>
      </c>
      <c r="F8" s="218" t="s">
        <v>19</v>
      </c>
      <c r="G8" s="218" t="s">
        <v>20</v>
      </c>
      <c r="H8" s="220">
        <v>900</v>
      </c>
      <c r="I8" s="221">
        <v>5005802</v>
      </c>
      <c r="J8" s="222"/>
      <c r="K8" s="223"/>
      <c r="L8" s="223">
        <f t="shared" si="0"/>
        <v>5005802</v>
      </c>
      <c r="M8" s="223">
        <v>5897951.3339999998</v>
      </c>
      <c r="N8" s="218"/>
      <c r="O8" s="218" t="s">
        <v>21</v>
      </c>
      <c r="P8" s="218" t="s">
        <v>22</v>
      </c>
      <c r="Q8" s="218" t="s">
        <v>23</v>
      </c>
    </row>
    <row r="9" spans="1:17" x14ac:dyDescent="0.25">
      <c r="A9" s="218" t="s">
        <v>27</v>
      </c>
      <c r="B9" s="218" t="s">
        <v>16</v>
      </c>
      <c r="C9" s="218" t="s">
        <v>28</v>
      </c>
      <c r="D9" s="218">
        <v>55340</v>
      </c>
      <c r="E9" s="219" t="s">
        <v>29</v>
      </c>
      <c r="F9" s="218" t="s">
        <v>30</v>
      </c>
      <c r="G9" s="224" t="s">
        <v>31</v>
      </c>
      <c r="H9" s="220">
        <v>199.3</v>
      </c>
      <c r="I9" s="221">
        <v>201855.8879409513</v>
      </c>
      <c r="J9" s="225"/>
      <c r="K9" s="225"/>
      <c r="L9" s="223">
        <f t="shared" ref="L9:L55" si="1">I9+K9*0.75/3.412</f>
        <v>201855.8879409513</v>
      </c>
      <c r="M9" s="221">
        <v>93121.84617979679</v>
      </c>
      <c r="N9" s="218"/>
      <c r="O9" s="218" t="s">
        <v>21</v>
      </c>
      <c r="P9" s="218" t="s">
        <v>22</v>
      </c>
      <c r="Q9" s="218" t="s">
        <v>23</v>
      </c>
    </row>
    <row r="10" spans="1:17" x14ac:dyDescent="0.25">
      <c r="A10" s="218" t="s">
        <v>27</v>
      </c>
      <c r="B10" s="218" t="s">
        <v>16</v>
      </c>
      <c r="C10" s="218" t="s">
        <v>28</v>
      </c>
      <c r="D10" s="218">
        <v>55340</v>
      </c>
      <c r="E10" s="219" t="s">
        <v>32</v>
      </c>
      <c r="F10" s="218" t="s">
        <v>30</v>
      </c>
      <c r="G10" s="224" t="s">
        <v>31</v>
      </c>
      <c r="H10" s="220">
        <v>199.3</v>
      </c>
      <c r="I10" s="221">
        <v>201855.8879409513</v>
      </c>
      <c r="J10" s="225"/>
      <c r="K10" s="225"/>
      <c r="L10" s="223">
        <f t="shared" si="1"/>
        <v>201855.8879409513</v>
      </c>
      <c r="M10" s="221">
        <v>93121.84617979679</v>
      </c>
      <c r="N10" s="218"/>
      <c r="O10" s="218" t="s">
        <v>21</v>
      </c>
      <c r="P10" s="218" t="s">
        <v>22</v>
      </c>
      <c r="Q10" s="218" t="s">
        <v>23</v>
      </c>
    </row>
    <row r="11" spans="1:17" x14ac:dyDescent="0.25">
      <c r="A11" s="218" t="s">
        <v>27</v>
      </c>
      <c r="B11" s="218" t="s">
        <v>16</v>
      </c>
      <c r="C11" s="218" t="s">
        <v>28</v>
      </c>
      <c r="D11" s="218">
        <v>55340</v>
      </c>
      <c r="E11" s="219" t="s">
        <v>33</v>
      </c>
      <c r="F11" s="218" t="s">
        <v>30</v>
      </c>
      <c r="G11" s="224" t="s">
        <v>34</v>
      </c>
      <c r="H11" s="220">
        <v>280.5</v>
      </c>
      <c r="I11" s="221">
        <v>284097.22311809746</v>
      </c>
      <c r="J11" s="225"/>
      <c r="K11" s="225"/>
      <c r="L11" s="223">
        <f t="shared" si="1"/>
        <v>284097.22311809746</v>
      </c>
      <c r="M11" s="221">
        <v>131062.1066404064</v>
      </c>
      <c r="N11" s="218"/>
      <c r="O11" s="218" t="s">
        <v>21</v>
      </c>
      <c r="P11" s="218" t="s">
        <v>22</v>
      </c>
      <c r="Q11" s="218" t="s">
        <v>23</v>
      </c>
    </row>
    <row r="12" spans="1:17" x14ac:dyDescent="0.25">
      <c r="A12" s="218" t="s">
        <v>27</v>
      </c>
      <c r="B12" s="218" t="s">
        <v>16</v>
      </c>
      <c r="C12" s="218" t="s">
        <v>35</v>
      </c>
      <c r="D12" s="218">
        <v>55221</v>
      </c>
      <c r="E12" s="219" t="s">
        <v>36</v>
      </c>
      <c r="F12" s="218" t="s">
        <v>30</v>
      </c>
      <c r="G12" s="224" t="s">
        <v>31</v>
      </c>
      <c r="H12" s="220">
        <v>51</v>
      </c>
      <c r="I12" s="221">
        <v>30316.288573811511</v>
      </c>
      <c r="J12" s="225"/>
      <c r="K12" s="225"/>
      <c r="L12" s="223">
        <f t="shared" si="1"/>
        <v>30316.288573811511</v>
      </c>
      <c r="M12" s="221">
        <v>15348.060460383655</v>
      </c>
      <c r="N12" s="218"/>
      <c r="O12" s="218" t="s">
        <v>21</v>
      </c>
      <c r="P12" s="218" t="s">
        <v>22</v>
      </c>
      <c r="Q12" s="218" t="s">
        <v>23</v>
      </c>
    </row>
    <row r="13" spans="1:17" x14ac:dyDescent="0.25">
      <c r="A13" s="218" t="s">
        <v>27</v>
      </c>
      <c r="B13" s="218" t="s">
        <v>16</v>
      </c>
      <c r="C13" s="218" t="s">
        <v>35</v>
      </c>
      <c r="D13" s="218">
        <v>55221</v>
      </c>
      <c r="E13" s="219" t="s">
        <v>37</v>
      </c>
      <c r="F13" s="218" t="s">
        <v>30</v>
      </c>
      <c r="G13" s="224" t="s">
        <v>31</v>
      </c>
      <c r="H13" s="220">
        <v>51</v>
      </c>
      <c r="I13" s="221">
        <v>30316.288573811511</v>
      </c>
      <c r="J13" s="225"/>
      <c r="K13" s="225"/>
      <c r="L13" s="223">
        <f t="shared" si="1"/>
        <v>30316.288573811511</v>
      </c>
      <c r="M13" s="221">
        <v>15348.060460383655</v>
      </c>
      <c r="N13" s="218"/>
      <c r="O13" s="218" t="s">
        <v>21</v>
      </c>
      <c r="P13" s="218" t="s">
        <v>22</v>
      </c>
      <c r="Q13" s="218" t="s">
        <v>23</v>
      </c>
    </row>
    <row r="14" spans="1:17" x14ac:dyDescent="0.25">
      <c r="A14" s="218" t="s">
        <v>27</v>
      </c>
      <c r="B14" s="218" t="s">
        <v>16</v>
      </c>
      <c r="C14" s="218" t="s">
        <v>35</v>
      </c>
      <c r="D14" s="218">
        <v>55221</v>
      </c>
      <c r="E14" s="219" t="s">
        <v>38</v>
      </c>
      <c r="F14" s="218" t="s">
        <v>30</v>
      </c>
      <c r="G14" s="224" t="s">
        <v>31</v>
      </c>
      <c r="H14" s="220">
        <v>51</v>
      </c>
      <c r="I14" s="221">
        <v>30316.288573811511</v>
      </c>
      <c r="J14" s="225"/>
      <c r="K14" s="225"/>
      <c r="L14" s="223">
        <f t="shared" si="1"/>
        <v>30316.288573811511</v>
      </c>
      <c r="M14" s="221">
        <v>15348.060460383655</v>
      </c>
      <c r="N14" s="218"/>
      <c r="O14" s="218" t="s">
        <v>21</v>
      </c>
      <c r="P14" s="218" t="s">
        <v>22</v>
      </c>
      <c r="Q14" s="218" t="s">
        <v>23</v>
      </c>
    </row>
    <row r="15" spans="1:17" x14ac:dyDescent="0.25">
      <c r="A15" s="218" t="s">
        <v>27</v>
      </c>
      <c r="B15" s="218" t="s">
        <v>16</v>
      </c>
      <c r="C15" s="218" t="s">
        <v>35</v>
      </c>
      <c r="D15" s="218">
        <v>55221</v>
      </c>
      <c r="E15" s="219" t="s">
        <v>39</v>
      </c>
      <c r="F15" s="218" t="s">
        <v>30</v>
      </c>
      <c r="G15" s="224" t="s">
        <v>31</v>
      </c>
      <c r="H15" s="220">
        <v>51</v>
      </c>
      <c r="I15" s="221">
        <v>30316.288573811511</v>
      </c>
      <c r="J15" s="225"/>
      <c r="K15" s="225"/>
      <c r="L15" s="223">
        <f t="shared" si="1"/>
        <v>30316.288573811511</v>
      </c>
      <c r="M15" s="221">
        <v>15348.060460383655</v>
      </c>
      <c r="N15" s="218"/>
      <c r="O15" s="218" t="s">
        <v>21</v>
      </c>
      <c r="P15" s="218" t="s">
        <v>22</v>
      </c>
      <c r="Q15" s="218" t="s">
        <v>23</v>
      </c>
    </row>
    <row r="16" spans="1:17" x14ac:dyDescent="0.25">
      <c r="A16" s="218" t="s">
        <v>27</v>
      </c>
      <c r="B16" s="218" t="s">
        <v>16</v>
      </c>
      <c r="C16" s="218" t="s">
        <v>35</v>
      </c>
      <c r="D16" s="218">
        <v>55221</v>
      </c>
      <c r="E16" s="219" t="s">
        <v>40</v>
      </c>
      <c r="F16" s="218" t="s">
        <v>30</v>
      </c>
      <c r="G16" s="224" t="s">
        <v>31</v>
      </c>
      <c r="H16" s="220">
        <v>51</v>
      </c>
      <c r="I16" s="221">
        <v>30316.288573811511</v>
      </c>
      <c r="J16" s="225"/>
      <c r="K16" s="225"/>
      <c r="L16" s="223">
        <f t="shared" si="1"/>
        <v>30316.288573811511</v>
      </c>
      <c r="M16" s="221">
        <v>15348.060460383655</v>
      </c>
      <c r="N16" s="218"/>
      <c r="O16" s="218" t="s">
        <v>21</v>
      </c>
      <c r="P16" s="218" t="s">
        <v>22</v>
      </c>
      <c r="Q16" s="218" t="s">
        <v>23</v>
      </c>
    </row>
    <row r="17" spans="1:17" x14ac:dyDescent="0.25">
      <c r="A17" s="218" t="s">
        <v>27</v>
      </c>
      <c r="B17" s="218" t="s">
        <v>16</v>
      </c>
      <c r="C17" s="218" t="s">
        <v>35</v>
      </c>
      <c r="D17" s="218">
        <v>55221</v>
      </c>
      <c r="E17" s="219" t="s">
        <v>41</v>
      </c>
      <c r="F17" s="218" t="s">
        <v>30</v>
      </c>
      <c r="G17" s="224" t="s">
        <v>31</v>
      </c>
      <c r="H17" s="220">
        <v>51</v>
      </c>
      <c r="I17" s="221">
        <v>30316.288573811511</v>
      </c>
      <c r="J17" s="225"/>
      <c r="K17" s="225"/>
      <c r="L17" s="223">
        <f t="shared" si="1"/>
        <v>30316.288573811511</v>
      </c>
      <c r="M17" s="221">
        <v>15348.060460383655</v>
      </c>
      <c r="N17" s="218"/>
      <c r="O17" s="218" t="s">
        <v>21</v>
      </c>
      <c r="P17" s="218" t="s">
        <v>22</v>
      </c>
      <c r="Q17" s="218" t="s">
        <v>23</v>
      </c>
    </row>
    <row r="18" spans="1:17" x14ac:dyDescent="0.25">
      <c r="A18" s="218" t="s">
        <v>27</v>
      </c>
      <c r="B18" s="218" t="s">
        <v>16</v>
      </c>
      <c r="C18" s="218" t="s">
        <v>35</v>
      </c>
      <c r="D18" s="218">
        <v>55221</v>
      </c>
      <c r="E18" s="219" t="s">
        <v>42</v>
      </c>
      <c r="F18" s="218" t="s">
        <v>30</v>
      </c>
      <c r="G18" s="224" t="s">
        <v>31</v>
      </c>
      <c r="H18" s="220">
        <v>83.5</v>
      </c>
      <c r="I18" s="221">
        <v>49635.49207673061</v>
      </c>
      <c r="J18" s="225"/>
      <c r="K18" s="225"/>
      <c r="L18" s="223">
        <f t="shared" si="1"/>
        <v>49635.49207673061</v>
      </c>
      <c r="M18" s="221">
        <v>25128.687224353631</v>
      </c>
      <c r="N18" s="218"/>
      <c r="O18" s="218" t="s">
        <v>21</v>
      </c>
      <c r="P18" s="218" t="s">
        <v>22</v>
      </c>
      <c r="Q18" s="218" t="s">
        <v>23</v>
      </c>
    </row>
    <row r="19" spans="1:17" x14ac:dyDescent="0.25">
      <c r="A19" s="218" t="s">
        <v>27</v>
      </c>
      <c r="B19" s="218" t="s">
        <v>16</v>
      </c>
      <c r="C19" s="218" t="s">
        <v>35</v>
      </c>
      <c r="D19" s="218">
        <v>55221</v>
      </c>
      <c r="E19" s="219" t="s">
        <v>43</v>
      </c>
      <c r="F19" s="218" t="s">
        <v>30</v>
      </c>
      <c r="G19" s="224" t="s">
        <v>34</v>
      </c>
      <c r="H19" s="220">
        <v>105</v>
      </c>
      <c r="I19" s="221">
        <v>62415.888240200169</v>
      </c>
      <c r="J19" s="225"/>
      <c r="K19" s="225"/>
      <c r="L19" s="223">
        <f t="shared" si="1"/>
        <v>62415.888240200169</v>
      </c>
      <c r="M19" s="221">
        <v>31598.948006672232</v>
      </c>
      <c r="N19" s="218"/>
      <c r="O19" s="218" t="s">
        <v>21</v>
      </c>
      <c r="P19" s="218" t="s">
        <v>22</v>
      </c>
      <c r="Q19" s="218" t="s">
        <v>23</v>
      </c>
    </row>
    <row r="20" spans="1:17" x14ac:dyDescent="0.25">
      <c r="A20" s="218" t="s">
        <v>27</v>
      </c>
      <c r="B20" s="218" t="s">
        <v>16</v>
      </c>
      <c r="C20" s="218" t="s">
        <v>35</v>
      </c>
      <c r="D20" s="218">
        <v>55221</v>
      </c>
      <c r="E20" s="219" t="s">
        <v>44</v>
      </c>
      <c r="F20" s="218" t="s">
        <v>30</v>
      </c>
      <c r="G20" s="224" t="s">
        <v>34</v>
      </c>
      <c r="H20" s="220">
        <v>105</v>
      </c>
      <c r="I20" s="221">
        <v>62415.888240200169</v>
      </c>
      <c r="J20" s="225"/>
      <c r="K20" s="225"/>
      <c r="L20" s="223">
        <f t="shared" si="1"/>
        <v>62415.888240200169</v>
      </c>
      <c r="M20" s="221">
        <v>31598.948006672232</v>
      </c>
      <c r="N20" s="218"/>
      <c r="O20" s="218" t="s">
        <v>21</v>
      </c>
      <c r="P20" s="218" t="s">
        <v>22</v>
      </c>
      <c r="Q20" s="218" t="s">
        <v>23</v>
      </c>
    </row>
    <row r="21" spans="1:17" x14ac:dyDescent="0.25">
      <c r="A21" s="218" t="s">
        <v>27</v>
      </c>
      <c r="B21" s="218" t="s">
        <v>16</v>
      </c>
      <c r="C21" s="218" t="s">
        <v>92</v>
      </c>
      <c r="D21" s="218">
        <v>55418</v>
      </c>
      <c r="E21" s="219" t="s">
        <v>51</v>
      </c>
      <c r="F21" s="218" t="s">
        <v>30</v>
      </c>
      <c r="G21" s="224" t="s">
        <v>31</v>
      </c>
      <c r="H21" s="220">
        <v>198.9</v>
      </c>
      <c r="I21" s="221">
        <v>142923.61863458311</v>
      </c>
      <c r="J21" s="225"/>
      <c r="K21" s="225"/>
      <c r="L21" s="223">
        <f t="shared" si="1"/>
        <v>142923.61863458311</v>
      </c>
      <c r="M21" s="221">
        <v>62929.715557638505</v>
      </c>
      <c r="N21" s="218"/>
      <c r="O21" s="218" t="s">
        <v>21</v>
      </c>
      <c r="P21" s="218" t="s">
        <v>22</v>
      </c>
      <c r="Q21" s="218" t="s">
        <v>23</v>
      </c>
    </row>
    <row r="22" spans="1:17" x14ac:dyDescent="0.25">
      <c r="A22" s="218" t="s">
        <v>27</v>
      </c>
      <c r="B22" s="218" t="s">
        <v>16</v>
      </c>
      <c r="C22" s="218" t="s">
        <v>92</v>
      </c>
      <c r="D22" s="218">
        <v>55418</v>
      </c>
      <c r="E22" s="219" t="s">
        <v>52</v>
      </c>
      <c r="F22" s="218" t="s">
        <v>30</v>
      </c>
      <c r="G22" s="224" t="s">
        <v>31</v>
      </c>
      <c r="H22" s="220">
        <v>198.9</v>
      </c>
      <c r="I22" s="221">
        <v>142923.61863458311</v>
      </c>
      <c r="J22" s="225"/>
      <c r="K22" s="225"/>
      <c r="L22" s="223">
        <f t="shared" si="1"/>
        <v>142923.61863458311</v>
      </c>
      <c r="M22" s="221">
        <v>62929.715557638505</v>
      </c>
      <c r="N22" s="218"/>
      <c r="O22" s="218" t="s">
        <v>21</v>
      </c>
      <c r="P22" s="218" t="s">
        <v>22</v>
      </c>
      <c r="Q22" s="218" t="s">
        <v>23</v>
      </c>
    </row>
    <row r="23" spans="1:17" x14ac:dyDescent="0.25">
      <c r="A23" s="218" t="s">
        <v>27</v>
      </c>
      <c r="B23" s="218" t="s">
        <v>16</v>
      </c>
      <c r="C23" s="218" t="s">
        <v>92</v>
      </c>
      <c r="D23" s="218">
        <v>55418</v>
      </c>
      <c r="E23" s="219" t="s">
        <v>49</v>
      </c>
      <c r="F23" s="218" t="s">
        <v>30</v>
      </c>
      <c r="G23" s="224" t="s">
        <v>34</v>
      </c>
      <c r="H23" s="220">
        <v>317</v>
      </c>
      <c r="I23" s="221">
        <v>227786.76273083381</v>
      </c>
      <c r="J23" s="225"/>
      <c r="K23" s="226"/>
      <c r="L23" s="223">
        <f t="shared" si="1"/>
        <v>227786.76273083381</v>
      </c>
      <c r="M23" s="221">
        <v>100295.22288472301</v>
      </c>
      <c r="N23" s="218"/>
      <c r="O23" s="218" t="s">
        <v>21</v>
      </c>
      <c r="P23" s="218" t="s">
        <v>22</v>
      </c>
      <c r="Q23" s="218" t="s">
        <v>23</v>
      </c>
    </row>
    <row r="24" spans="1:17" x14ac:dyDescent="0.25">
      <c r="A24" s="218" t="s">
        <v>27</v>
      </c>
      <c r="B24" s="218" t="s">
        <v>16</v>
      </c>
      <c r="C24" s="218" t="s">
        <v>93</v>
      </c>
      <c r="D24" s="218">
        <v>55714</v>
      </c>
      <c r="E24" s="219" t="s">
        <v>46</v>
      </c>
      <c r="F24" s="218" t="s">
        <v>30</v>
      </c>
      <c r="G24" s="224" t="s">
        <v>31</v>
      </c>
      <c r="H24" s="220">
        <v>242</v>
      </c>
      <c r="I24" s="221">
        <v>836463.91689008044</v>
      </c>
      <c r="J24" s="225"/>
      <c r="K24" s="226"/>
      <c r="L24" s="223">
        <f t="shared" si="1"/>
        <v>836463.91689008044</v>
      </c>
      <c r="M24" s="221">
        <v>351046.10993297584</v>
      </c>
      <c r="N24" s="218"/>
      <c r="O24" s="218" t="s">
        <v>21</v>
      </c>
      <c r="P24" s="218" t="s">
        <v>22</v>
      </c>
      <c r="Q24" s="218" t="s">
        <v>23</v>
      </c>
    </row>
    <row r="25" spans="1:17" x14ac:dyDescent="0.25">
      <c r="A25" s="218" t="s">
        <v>27</v>
      </c>
      <c r="B25" s="218" t="s">
        <v>16</v>
      </c>
      <c r="C25" s="218" t="s">
        <v>93</v>
      </c>
      <c r="D25" s="218">
        <v>55714</v>
      </c>
      <c r="E25" s="219" t="s">
        <v>48</v>
      </c>
      <c r="F25" s="218" t="s">
        <v>30</v>
      </c>
      <c r="G25" s="224" t="s">
        <v>31</v>
      </c>
      <c r="H25" s="220">
        <v>242</v>
      </c>
      <c r="I25" s="221">
        <v>836463.91689008044</v>
      </c>
      <c r="J25" s="225"/>
      <c r="K25" s="226"/>
      <c r="L25" s="223">
        <f t="shared" si="1"/>
        <v>836463.91689008044</v>
      </c>
      <c r="M25" s="221">
        <v>351046.10993297584</v>
      </c>
      <c r="N25" s="218"/>
      <c r="O25" s="218" t="s">
        <v>21</v>
      </c>
      <c r="P25" s="218" t="s">
        <v>22</v>
      </c>
      <c r="Q25" s="218" t="s">
        <v>23</v>
      </c>
    </row>
    <row r="26" spans="1:17" x14ac:dyDescent="0.25">
      <c r="A26" s="218" t="s">
        <v>27</v>
      </c>
      <c r="B26" s="218" t="s">
        <v>16</v>
      </c>
      <c r="C26" s="218" t="s">
        <v>93</v>
      </c>
      <c r="D26" s="218">
        <v>55714</v>
      </c>
      <c r="E26" s="219" t="s">
        <v>49</v>
      </c>
      <c r="F26" s="218" t="s">
        <v>30</v>
      </c>
      <c r="G26" s="224" t="s">
        <v>34</v>
      </c>
      <c r="H26" s="220">
        <v>262</v>
      </c>
      <c r="I26" s="221">
        <v>905593.16621983913</v>
      </c>
      <c r="J26" s="225"/>
      <c r="K26" s="226"/>
      <c r="L26" s="223">
        <f t="shared" si="1"/>
        <v>905593.16621983913</v>
      </c>
      <c r="M26" s="221">
        <v>380058.18513404822</v>
      </c>
      <c r="N26" s="218"/>
      <c r="O26" s="218" t="s">
        <v>21</v>
      </c>
      <c r="P26" s="218" t="s">
        <v>22</v>
      </c>
      <c r="Q26" s="218" t="s">
        <v>23</v>
      </c>
    </row>
    <row r="27" spans="1:17" x14ac:dyDescent="0.25">
      <c r="A27" s="218" t="s">
        <v>27</v>
      </c>
      <c r="B27" s="218" t="s">
        <v>16</v>
      </c>
      <c r="C27" s="218" t="s">
        <v>53</v>
      </c>
      <c r="D27" s="218">
        <v>55075</v>
      </c>
      <c r="E27" s="219" t="s">
        <v>54</v>
      </c>
      <c r="F27" s="218" t="s">
        <v>30</v>
      </c>
      <c r="G27" s="224" t="s">
        <v>31</v>
      </c>
      <c r="H27" s="220">
        <v>180</v>
      </c>
      <c r="I27" s="221">
        <v>1135758.0508474577</v>
      </c>
      <c r="J27" s="227">
        <v>0.53181900000000004</v>
      </c>
      <c r="K27" s="228">
        <f>(4/3)*3.412*I27*(1/J27-1)</f>
        <v>4548660.4530062834</v>
      </c>
      <c r="L27" s="223">
        <f t="shared" si="1"/>
        <v>2135610.1433898704</v>
      </c>
      <c r="M27" s="221">
        <v>642744.37296610174</v>
      </c>
      <c r="N27" s="218"/>
      <c r="O27" s="218" t="s">
        <v>55</v>
      </c>
      <c r="P27" s="218" t="s">
        <v>56</v>
      </c>
      <c r="Q27" s="218" t="s">
        <v>23</v>
      </c>
    </row>
    <row r="28" spans="1:17" x14ac:dyDescent="0.25">
      <c r="A28" s="218" t="s">
        <v>27</v>
      </c>
      <c r="B28" s="218" t="s">
        <v>16</v>
      </c>
      <c r="C28" s="218" t="s">
        <v>53</v>
      </c>
      <c r="D28" s="218">
        <v>55075</v>
      </c>
      <c r="E28" s="219" t="s">
        <v>57</v>
      </c>
      <c r="F28" s="218" t="s">
        <v>30</v>
      </c>
      <c r="G28" s="224" t="s">
        <v>34</v>
      </c>
      <c r="H28" s="220">
        <v>56</v>
      </c>
      <c r="I28" s="221">
        <v>353346.94915254239</v>
      </c>
      <c r="J28" s="227">
        <v>0.53181900000000004</v>
      </c>
      <c r="K28" s="228">
        <f>(4/3)*3.412*I28*(1/J28-1)</f>
        <v>1415138.8076019548</v>
      </c>
      <c r="L28" s="223">
        <f t="shared" si="1"/>
        <v>664412.04461018194</v>
      </c>
      <c r="M28" s="221">
        <v>199964.91603389831</v>
      </c>
      <c r="N28" s="218"/>
      <c r="O28" s="218" t="s">
        <v>55</v>
      </c>
      <c r="P28" s="218" t="s">
        <v>56</v>
      </c>
      <c r="Q28" s="218" t="s">
        <v>23</v>
      </c>
    </row>
    <row r="29" spans="1:17" x14ac:dyDescent="0.25">
      <c r="A29" s="218" t="s">
        <v>27</v>
      </c>
      <c r="B29" s="218" t="s">
        <v>16</v>
      </c>
      <c r="C29" s="218" t="s">
        <v>58</v>
      </c>
      <c r="D29" s="218">
        <v>201</v>
      </c>
      <c r="E29" s="219" t="s">
        <v>18</v>
      </c>
      <c r="F29" s="218" t="s">
        <v>30</v>
      </c>
      <c r="G29" s="224" t="s">
        <v>34</v>
      </c>
      <c r="H29" s="220">
        <v>59</v>
      </c>
      <c r="I29" s="221">
        <v>36503.140540540538</v>
      </c>
      <c r="J29" s="225"/>
      <c r="K29" s="226"/>
      <c r="L29" s="223">
        <f t="shared" si="1"/>
        <v>36503.140540540538</v>
      </c>
      <c r="M29" s="221">
        <v>20671.545843243242</v>
      </c>
      <c r="N29" s="218"/>
      <c r="O29" s="218" t="s">
        <v>21</v>
      </c>
      <c r="P29" s="218" t="s">
        <v>22</v>
      </c>
      <c r="Q29" s="218" t="s">
        <v>23</v>
      </c>
    </row>
    <row r="30" spans="1:17" x14ac:dyDescent="0.25">
      <c r="A30" s="218" t="s">
        <v>27</v>
      </c>
      <c r="B30" s="218" t="s">
        <v>16</v>
      </c>
      <c r="C30" s="218" t="s">
        <v>58</v>
      </c>
      <c r="D30" s="218">
        <v>201</v>
      </c>
      <c r="E30" s="219" t="s">
        <v>25</v>
      </c>
      <c r="F30" s="218" t="s">
        <v>30</v>
      </c>
      <c r="G30" s="224" t="s">
        <v>31</v>
      </c>
      <c r="H30" s="220">
        <v>126</v>
      </c>
      <c r="I30" s="221">
        <v>77955.859459459462</v>
      </c>
      <c r="J30" s="225"/>
      <c r="K30" s="226"/>
      <c r="L30" s="223">
        <f t="shared" si="1"/>
        <v>77955.859459459462</v>
      </c>
      <c r="M30" s="221">
        <v>44146.013156756759</v>
      </c>
      <c r="N30" s="218"/>
      <c r="O30" s="218" t="s">
        <v>21</v>
      </c>
      <c r="P30" s="218" t="s">
        <v>22</v>
      </c>
      <c r="Q30" s="218" t="s">
        <v>23</v>
      </c>
    </row>
    <row r="31" spans="1:17" x14ac:dyDescent="0.25">
      <c r="A31" s="218" t="s">
        <v>27</v>
      </c>
      <c r="B31" s="218" t="s">
        <v>16</v>
      </c>
      <c r="C31" s="218" t="s">
        <v>59</v>
      </c>
      <c r="D31" s="218">
        <v>55380</v>
      </c>
      <c r="E31" s="219" t="s">
        <v>29</v>
      </c>
      <c r="F31" s="218" t="s">
        <v>30</v>
      </c>
      <c r="G31" s="224" t="s">
        <v>31</v>
      </c>
      <c r="H31" s="220">
        <v>176</v>
      </c>
      <c r="I31" s="221">
        <v>718446.2075782537</v>
      </c>
      <c r="J31" s="225"/>
      <c r="K31" s="226"/>
      <c r="L31" s="223">
        <f t="shared" si="1"/>
        <v>718446.2075782537</v>
      </c>
      <c r="M31" s="221">
        <v>311843.63529489288</v>
      </c>
      <c r="N31" s="218"/>
      <c r="O31" s="218" t="s">
        <v>86</v>
      </c>
      <c r="P31" s="218" t="s">
        <v>22</v>
      </c>
      <c r="Q31" s="218" t="s">
        <v>23</v>
      </c>
    </row>
    <row r="32" spans="1:17" x14ac:dyDescent="0.25">
      <c r="A32" s="218" t="s">
        <v>27</v>
      </c>
      <c r="B32" s="218" t="s">
        <v>16</v>
      </c>
      <c r="C32" s="218" t="s">
        <v>59</v>
      </c>
      <c r="D32" s="218">
        <v>55380</v>
      </c>
      <c r="E32" s="219" t="s">
        <v>32</v>
      </c>
      <c r="F32" s="218" t="s">
        <v>30</v>
      </c>
      <c r="G32" s="224" t="s">
        <v>31</v>
      </c>
      <c r="H32" s="220">
        <v>176</v>
      </c>
      <c r="I32" s="221">
        <v>718446.2075782537</v>
      </c>
      <c r="J32" s="225"/>
      <c r="K32" s="225"/>
      <c r="L32" s="223">
        <f t="shared" si="1"/>
        <v>718446.2075782537</v>
      </c>
      <c r="M32" s="221">
        <v>311843.63529489288</v>
      </c>
      <c r="N32" s="218"/>
      <c r="O32" s="218" t="s">
        <v>86</v>
      </c>
      <c r="P32" s="218" t="s">
        <v>22</v>
      </c>
      <c r="Q32" s="218" t="s">
        <v>23</v>
      </c>
    </row>
    <row r="33" spans="1:17" x14ac:dyDescent="0.25">
      <c r="A33" s="218" t="s">
        <v>27</v>
      </c>
      <c r="B33" s="218" t="s">
        <v>16</v>
      </c>
      <c r="C33" s="218" t="s">
        <v>59</v>
      </c>
      <c r="D33" s="218">
        <v>55380</v>
      </c>
      <c r="E33" s="219" t="s">
        <v>60</v>
      </c>
      <c r="F33" s="218" t="s">
        <v>30</v>
      </c>
      <c r="G33" s="224" t="s">
        <v>31</v>
      </c>
      <c r="H33" s="220">
        <v>176</v>
      </c>
      <c r="I33" s="221">
        <v>718446.2075782537</v>
      </c>
      <c r="J33" s="225"/>
      <c r="K33" s="225"/>
      <c r="L33" s="223">
        <f t="shared" si="1"/>
        <v>718446.2075782537</v>
      </c>
      <c r="M33" s="221">
        <v>311843.63529489288</v>
      </c>
      <c r="N33" s="218"/>
      <c r="O33" s="218" t="s">
        <v>86</v>
      </c>
      <c r="P33" s="218" t="s">
        <v>22</v>
      </c>
      <c r="Q33" s="218" t="s">
        <v>23</v>
      </c>
    </row>
    <row r="34" spans="1:17" x14ac:dyDescent="0.25">
      <c r="A34" s="218" t="s">
        <v>27</v>
      </c>
      <c r="B34" s="218" t="s">
        <v>16</v>
      </c>
      <c r="C34" s="218" t="s">
        <v>59</v>
      </c>
      <c r="D34" s="218">
        <v>55380</v>
      </c>
      <c r="E34" s="219" t="s">
        <v>61</v>
      </c>
      <c r="F34" s="218" t="s">
        <v>30</v>
      </c>
      <c r="G34" s="224" t="s">
        <v>31</v>
      </c>
      <c r="H34" s="220">
        <v>176</v>
      </c>
      <c r="I34" s="221">
        <v>718446.2075782537</v>
      </c>
      <c r="J34" s="225"/>
      <c r="K34" s="225"/>
      <c r="L34" s="223">
        <f t="shared" si="1"/>
        <v>718446.2075782537</v>
      </c>
      <c r="M34" s="221">
        <v>311843.63529489288</v>
      </c>
      <c r="N34" s="218"/>
      <c r="O34" s="218" t="s">
        <v>86</v>
      </c>
      <c r="P34" s="218" t="s">
        <v>22</v>
      </c>
      <c r="Q34" s="218" t="s">
        <v>23</v>
      </c>
    </row>
    <row r="35" spans="1:17" x14ac:dyDescent="0.25">
      <c r="A35" s="218" t="s">
        <v>27</v>
      </c>
      <c r="B35" s="218" t="s">
        <v>16</v>
      </c>
      <c r="C35" s="218" t="s">
        <v>59</v>
      </c>
      <c r="D35" s="218">
        <v>55380</v>
      </c>
      <c r="E35" s="219" t="s">
        <v>62</v>
      </c>
      <c r="F35" s="218" t="s">
        <v>30</v>
      </c>
      <c r="G35" s="224" t="s">
        <v>31</v>
      </c>
      <c r="H35" s="220">
        <v>176</v>
      </c>
      <c r="I35" s="221">
        <v>718446.2075782537</v>
      </c>
      <c r="J35" s="225"/>
      <c r="K35" s="225"/>
      <c r="L35" s="223">
        <f t="shared" si="1"/>
        <v>718446.2075782537</v>
      </c>
      <c r="M35" s="221">
        <v>311843.63529489288</v>
      </c>
      <c r="N35" s="218"/>
      <c r="O35" s="218" t="s">
        <v>86</v>
      </c>
      <c r="P35" s="218" t="s">
        <v>22</v>
      </c>
      <c r="Q35" s="218" t="s">
        <v>23</v>
      </c>
    </row>
    <row r="36" spans="1:17" x14ac:dyDescent="0.25">
      <c r="A36" s="218" t="s">
        <v>27</v>
      </c>
      <c r="B36" s="218" t="s">
        <v>16</v>
      </c>
      <c r="C36" s="218" t="s">
        <v>59</v>
      </c>
      <c r="D36" s="218">
        <v>55380</v>
      </c>
      <c r="E36" s="219" t="s">
        <v>63</v>
      </c>
      <c r="F36" s="218" t="s">
        <v>30</v>
      </c>
      <c r="G36" s="224" t="s">
        <v>31</v>
      </c>
      <c r="H36" s="220">
        <v>176</v>
      </c>
      <c r="I36" s="221">
        <v>718446.2075782537</v>
      </c>
      <c r="J36" s="225"/>
      <c r="K36" s="225"/>
      <c r="L36" s="223">
        <f t="shared" si="1"/>
        <v>718446.2075782537</v>
      </c>
      <c r="M36" s="221">
        <v>311843.63529489288</v>
      </c>
      <c r="N36" s="218"/>
      <c r="O36" s="218" t="s">
        <v>86</v>
      </c>
      <c r="P36" s="218" t="s">
        <v>22</v>
      </c>
      <c r="Q36" s="218" t="s">
        <v>23</v>
      </c>
    </row>
    <row r="37" spans="1:17" x14ac:dyDescent="0.25">
      <c r="A37" s="218" t="s">
        <v>27</v>
      </c>
      <c r="B37" s="218" t="s">
        <v>16</v>
      </c>
      <c r="C37" s="218" t="s">
        <v>59</v>
      </c>
      <c r="D37" s="218">
        <v>55380</v>
      </c>
      <c r="E37" s="219" t="s">
        <v>64</v>
      </c>
      <c r="F37" s="218" t="s">
        <v>30</v>
      </c>
      <c r="G37" s="224" t="s">
        <v>31</v>
      </c>
      <c r="H37" s="220">
        <v>176</v>
      </c>
      <c r="I37" s="221">
        <v>718446.2075782537</v>
      </c>
      <c r="J37" s="225"/>
      <c r="K37" s="225"/>
      <c r="L37" s="223">
        <f t="shared" si="1"/>
        <v>718446.2075782537</v>
      </c>
      <c r="M37" s="221">
        <v>311843.63529489288</v>
      </c>
      <c r="N37" s="218"/>
      <c r="O37" s="218" t="s">
        <v>86</v>
      </c>
      <c r="P37" s="218" t="s">
        <v>22</v>
      </c>
      <c r="Q37" s="218" t="s">
        <v>23</v>
      </c>
    </row>
    <row r="38" spans="1:17" x14ac:dyDescent="0.25">
      <c r="A38" s="218" t="s">
        <v>27</v>
      </c>
      <c r="B38" s="218" t="s">
        <v>16</v>
      </c>
      <c r="C38" s="218" t="s">
        <v>59</v>
      </c>
      <c r="D38" s="218">
        <v>55380</v>
      </c>
      <c r="E38" s="219" t="s">
        <v>65</v>
      </c>
      <c r="F38" s="218" t="s">
        <v>30</v>
      </c>
      <c r="G38" s="224" t="s">
        <v>31</v>
      </c>
      <c r="H38" s="220">
        <v>176</v>
      </c>
      <c r="I38" s="221">
        <v>718446.2075782537</v>
      </c>
      <c r="J38" s="225"/>
      <c r="K38" s="225"/>
      <c r="L38" s="223">
        <f t="shared" si="1"/>
        <v>718446.2075782537</v>
      </c>
      <c r="M38" s="221">
        <v>311843.63529489288</v>
      </c>
      <c r="N38" s="218"/>
      <c r="O38" s="218" t="s">
        <v>86</v>
      </c>
      <c r="P38" s="218" t="s">
        <v>22</v>
      </c>
      <c r="Q38" s="218" t="s">
        <v>23</v>
      </c>
    </row>
    <row r="39" spans="1:17" x14ac:dyDescent="0.25">
      <c r="A39" s="218" t="s">
        <v>27</v>
      </c>
      <c r="B39" s="218" t="s">
        <v>16</v>
      </c>
      <c r="C39" s="218" t="s">
        <v>59</v>
      </c>
      <c r="D39" s="218">
        <v>55380</v>
      </c>
      <c r="E39" s="219" t="s">
        <v>66</v>
      </c>
      <c r="F39" s="218" t="s">
        <v>30</v>
      </c>
      <c r="G39" s="224" t="s">
        <v>34</v>
      </c>
      <c r="H39" s="220">
        <v>255</v>
      </c>
      <c r="I39" s="221">
        <v>1040930.5848434926</v>
      </c>
      <c r="J39" s="225"/>
      <c r="K39" s="225"/>
      <c r="L39" s="223">
        <f t="shared" si="1"/>
        <v>1040930.5848434926</v>
      </c>
      <c r="M39" s="221">
        <v>451818.90341021406</v>
      </c>
      <c r="N39" s="218"/>
      <c r="O39" s="218" t="s">
        <v>86</v>
      </c>
      <c r="P39" s="218" t="s">
        <v>22</v>
      </c>
      <c r="Q39" s="218" t="s">
        <v>23</v>
      </c>
    </row>
    <row r="40" spans="1:17" x14ac:dyDescent="0.25">
      <c r="A40" s="218" t="s">
        <v>27</v>
      </c>
      <c r="B40" s="218" t="s">
        <v>16</v>
      </c>
      <c r="C40" s="218" t="s">
        <v>59</v>
      </c>
      <c r="D40" s="218">
        <v>55380</v>
      </c>
      <c r="E40" s="219" t="s">
        <v>67</v>
      </c>
      <c r="F40" s="218" t="s">
        <v>30</v>
      </c>
      <c r="G40" s="224" t="s">
        <v>34</v>
      </c>
      <c r="H40" s="220">
        <v>255</v>
      </c>
      <c r="I40" s="221">
        <v>1040930.5848434926</v>
      </c>
      <c r="J40" s="225"/>
      <c r="K40" s="225"/>
      <c r="L40" s="223">
        <f t="shared" si="1"/>
        <v>1040930.5848434926</v>
      </c>
      <c r="M40" s="221">
        <v>451818.90341021406</v>
      </c>
      <c r="N40" s="218"/>
      <c r="O40" s="218" t="s">
        <v>86</v>
      </c>
      <c r="P40" s="218" t="s">
        <v>22</v>
      </c>
      <c r="Q40" s="218" t="s">
        <v>23</v>
      </c>
    </row>
    <row r="41" spans="1:17" x14ac:dyDescent="0.25">
      <c r="A41" s="218" t="s">
        <v>27</v>
      </c>
      <c r="B41" s="218" t="s">
        <v>16</v>
      </c>
      <c r="C41" s="218" t="s">
        <v>59</v>
      </c>
      <c r="D41" s="218">
        <v>55380</v>
      </c>
      <c r="E41" s="219" t="s">
        <v>68</v>
      </c>
      <c r="F41" s="218" t="s">
        <v>30</v>
      </c>
      <c r="G41" s="224" t="s">
        <v>34</v>
      </c>
      <c r="H41" s="220">
        <v>255</v>
      </c>
      <c r="I41" s="221">
        <v>1040930.5848434926</v>
      </c>
      <c r="J41" s="225"/>
      <c r="K41" s="225"/>
      <c r="L41" s="223">
        <f t="shared" si="1"/>
        <v>1040930.5848434926</v>
      </c>
      <c r="M41" s="221">
        <v>451818.90341021406</v>
      </c>
      <c r="N41" s="218"/>
      <c r="O41" s="218" t="s">
        <v>86</v>
      </c>
      <c r="P41" s="218" t="s">
        <v>22</v>
      </c>
      <c r="Q41" s="218" t="s">
        <v>23</v>
      </c>
    </row>
    <row r="42" spans="1:17" x14ac:dyDescent="0.25">
      <c r="A42" s="218" t="s">
        <v>27</v>
      </c>
      <c r="B42" s="218" t="s">
        <v>16</v>
      </c>
      <c r="C42" s="218" t="s">
        <v>59</v>
      </c>
      <c r="D42" s="218">
        <v>55380</v>
      </c>
      <c r="E42" s="219" t="s">
        <v>69</v>
      </c>
      <c r="F42" s="218" t="s">
        <v>30</v>
      </c>
      <c r="G42" s="224" t="s">
        <v>34</v>
      </c>
      <c r="H42" s="220">
        <v>255</v>
      </c>
      <c r="I42" s="221">
        <v>1040930.5848434926</v>
      </c>
      <c r="J42" s="225"/>
      <c r="K42" s="225"/>
      <c r="L42" s="223">
        <f t="shared" si="1"/>
        <v>1040930.5848434926</v>
      </c>
      <c r="M42" s="221">
        <v>451818.90341021406</v>
      </c>
      <c r="N42" s="218"/>
      <c r="O42" s="218" t="s">
        <v>86</v>
      </c>
      <c r="P42" s="218" t="s">
        <v>22</v>
      </c>
      <c r="Q42" s="218" t="s">
        <v>23</v>
      </c>
    </row>
    <row r="43" spans="1:17" x14ac:dyDescent="0.25">
      <c r="A43" s="218" t="s">
        <v>70</v>
      </c>
      <c r="B43" s="218" t="s">
        <v>16</v>
      </c>
      <c r="C43" s="218" t="s">
        <v>71</v>
      </c>
      <c r="D43" s="218">
        <v>202</v>
      </c>
      <c r="E43" s="219" t="s">
        <v>18</v>
      </c>
      <c r="F43" s="218" t="s">
        <v>30</v>
      </c>
      <c r="G43" s="218" t="s">
        <v>20</v>
      </c>
      <c r="H43" s="220">
        <v>120</v>
      </c>
      <c r="I43" s="221">
        <v>46502</v>
      </c>
      <c r="J43" s="225"/>
      <c r="K43" s="225"/>
      <c r="L43" s="223">
        <f t="shared" si="1"/>
        <v>46502</v>
      </c>
      <c r="M43" s="223">
        <v>35551.230000000003</v>
      </c>
      <c r="N43" s="218"/>
      <c r="O43" s="218" t="s">
        <v>21</v>
      </c>
      <c r="P43" s="218" t="s">
        <v>22</v>
      </c>
      <c r="Q43" s="218" t="s">
        <v>23</v>
      </c>
    </row>
    <row r="44" spans="1:17" x14ac:dyDescent="0.25">
      <c r="A44" s="218" t="s">
        <v>70</v>
      </c>
      <c r="B44" s="218" t="s">
        <v>16</v>
      </c>
      <c r="C44" s="218" t="s">
        <v>72</v>
      </c>
      <c r="D44" s="218">
        <v>167</v>
      </c>
      <c r="E44" s="219" t="s">
        <v>25</v>
      </c>
      <c r="F44" s="218" t="s">
        <v>30</v>
      </c>
      <c r="G44" s="218" t="s">
        <v>20</v>
      </c>
      <c r="H44" s="220">
        <v>69</v>
      </c>
      <c r="I44" s="221">
        <v>0</v>
      </c>
      <c r="J44" s="225"/>
      <c r="K44" s="225"/>
      <c r="L44" s="223">
        <f t="shared" si="1"/>
        <v>0</v>
      </c>
      <c r="M44" s="223">
        <v>0</v>
      </c>
      <c r="N44" s="218"/>
      <c r="O44" s="218" t="s">
        <v>21</v>
      </c>
      <c r="P44" s="218" t="s">
        <v>22</v>
      </c>
      <c r="Q44" s="218" t="s">
        <v>73</v>
      </c>
    </row>
    <row r="45" spans="1:17" x14ac:dyDescent="0.25">
      <c r="A45" s="218" t="s">
        <v>70</v>
      </c>
      <c r="B45" s="218" t="s">
        <v>16</v>
      </c>
      <c r="C45" s="218" t="s">
        <v>72</v>
      </c>
      <c r="D45" s="218">
        <v>167</v>
      </c>
      <c r="E45" s="219" t="s">
        <v>74</v>
      </c>
      <c r="F45" s="218" t="s">
        <v>30</v>
      </c>
      <c r="G45" s="218" t="s">
        <v>20</v>
      </c>
      <c r="H45" s="220">
        <v>156.19999999999999</v>
      </c>
      <c r="I45" s="221">
        <v>2581</v>
      </c>
      <c r="J45" s="225"/>
      <c r="K45" s="225"/>
      <c r="L45" s="223">
        <f t="shared" si="1"/>
        <v>2581</v>
      </c>
      <c r="M45" s="223">
        <v>3234.7570000000001</v>
      </c>
      <c r="N45" s="218"/>
      <c r="O45" s="218" t="s">
        <v>21</v>
      </c>
      <c r="P45" s="218" t="s">
        <v>22</v>
      </c>
      <c r="Q45" s="218" t="s">
        <v>76</v>
      </c>
    </row>
    <row r="46" spans="1:17" x14ac:dyDescent="0.25">
      <c r="A46" s="218" t="s">
        <v>70</v>
      </c>
      <c r="B46" s="218" t="s">
        <v>16</v>
      </c>
      <c r="C46" s="218" t="s">
        <v>75</v>
      </c>
      <c r="D46" s="218">
        <v>168</v>
      </c>
      <c r="E46" s="219" t="s">
        <v>18</v>
      </c>
      <c r="F46" s="218" t="s">
        <v>30</v>
      </c>
      <c r="G46" s="218" t="s">
        <v>20</v>
      </c>
      <c r="H46" s="220">
        <v>69</v>
      </c>
      <c r="I46" s="221">
        <v>0</v>
      </c>
      <c r="J46" s="225"/>
      <c r="K46" s="225"/>
      <c r="L46" s="223">
        <f t="shared" si="1"/>
        <v>0</v>
      </c>
      <c r="M46" s="223" t="s">
        <v>90</v>
      </c>
      <c r="N46" s="218"/>
      <c r="O46" s="218" t="s">
        <v>21</v>
      </c>
      <c r="P46" s="218" t="s">
        <v>22</v>
      </c>
      <c r="Q46" s="218" t="s">
        <v>73</v>
      </c>
    </row>
    <row r="47" spans="1:17" x14ac:dyDescent="0.25">
      <c r="A47" s="218" t="s">
        <v>70</v>
      </c>
      <c r="B47" s="218" t="s">
        <v>16</v>
      </c>
      <c r="C47" s="218" t="s">
        <v>75</v>
      </c>
      <c r="D47" s="218">
        <v>168</v>
      </c>
      <c r="E47" s="219" t="s">
        <v>25</v>
      </c>
      <c r="F47" s="218" t="s">
        <v>30</v>
      </c>
      <c r="G47" s="218" t="s">
        <v>20</v>
      </c>
      <c r="H47" s="220">
        <v>69</v>
      </c>
      <c r="I47" s="221">
        <v>0</v>
      </c>
      <c r="J47" s="225"/>
      <c r="K47" s="225"/>
      <c r="L47" s="223">
        <f t="shared" si="1"/>
        <v>0</v>
      </c>
      <c r="M47" s="223" t="s">
        <v>90</v>
      </c>
      <c r="N47" s="218"/>
      <c r="O47" s="218" t="s">
        <v>21</v>
      </c>
      <c r="P47" s="218" t="s">
        <v>22</v>
      </c>
      <c r="Q47" s="218" t="s">
        <v>73</v>
      </c>
    </row>
    <row r="48" spans="1:17" x14ac:dyDescent="0.25">
      <c r="A48" s="218" t="s">
        <v>70</v>
      </c>
      <c r="B48" s="218" t="s">
        <v>16</v>
      </c>
      <c r="C48" s="218" t="s">
        <v>77</v>
      </c>
      <c r="D48" s="218">
        <v>169</v>
      </c>
      <c r="E48" s="219" t="s">
        <v>25</v>
      </c>
      <c r="F48" s="218" t="s">
        <v>30</v>
      </c>
      <c r="G48" s="218" t="s">
        <v>20</v>
      </c>
      <c r="H48" s="220">
        <v>156.19999999999999</v>
      </c>
      <c r="I48" s="221">
        <v>-626</v>
      </c>
      <c r="J48" s="225"/>
      <c r="K48" s="225"/>
      <c r="L48" s="223">
        <f t="shared" si="1"/>
        <v>-626</v>
      </c>
      <c r="M48" s="223">
        <v>0</v>
      </c>
      <c r="N48" s="218"/>
      <c r="O48" s="218" t="s">
        <v>21</v>
      </c>
      <c r="P48" s="218" t="s">
        <v>22</v>
      </c>
      <c r="Q48" s="218" t="s">
        <v>76</v>
      </c>
    </row>
    <row r="49" spans="1:17" x14ac:dyDescent="0.25">
      <c r="A49" s="218" t="s">
        <v>70</v>
      </c>
      <c r="B49" s="218" t="s">
        <v>16</v>
      </c>
      <c r="C49" s="218" t="s">
        <v>78</v>
      </c>
      <c r="D49" s="218">
        <v>170</v>
      </c>
      <c r="E49" s="219" t="s">
        <v>18</v>
      </c>
      <c r="F49" s="218" t="s">
        <v>30</v>
      </c>
      <c r="G49" s="218" t="s">
        <v>20</v>
      </c>
      <c r="H49" s="220">
        <v>40</v>
      </c>
      <c r="I49" s="221">
        <v>35</v>
      </c>
      <c r="J49" s="225"/>
      <c r="K49" s="225"/>
      <c r="L49" s="223">
        <f t="shared" si="1"/>
        <v>35</v>
      </c>
      <c r="M49" s="223">
        <v>62.229243494527999</v>
      </c>
      <c r="N49" s="218"/>
      <c r="O49" s="218" t="s">
        <v>21</v>
      </c>
      <c r="P49" s="218" t="s">
        <v>22</v>
      </c>
      <c r="Q49" s="218" t="s">
        <v>76</v>
      </c>
    </row>
    <row r="50" spans="1:17" x14ac:dyDescent="0.25">
      <c r="A50" s="218" t="s">
        <v>70</v>
      </c>
      <c r="B50" s="218" t="s">
        <v>16</v>
      </c>
      <c r="C50" s="218" t="s">
        <v>78</v>
      </c>
      <c r="D50" s="218">
        <v>170</v>
      </c>
      <c r="E50" s="219" t="s">
        <v>25</v>
      </c>
      <c r="F50" s="218" t="s">
        <v>30</v>
      </c>
      <c r="G50" s="218" t="s">
        <v>20</v>
      </c>
      <c r="H50" s="220">
        <v>40</v>
      </c>
      <c r="I50" s="221">
        <v>2</v>
      </c>
      <c r="J50" s="225"/>
      <c r="K50" s="225"/>
      <c r="L50" s="223">
        <f t="shared" si="1"/>
        <v>2</v>
      </c>
      <c r="M50" s="223">
        <v>170.054</v>
      </c>
      <c r="N50" s="218"/>
      <c r="O50" s="218" t="s">
        <v>21</v>
      </c>
      <c r="P50" s="218" t="s">
        <v>22</v>
      </c>
      <c r="Q50" s="218" t="s">
        <v>76</v>
      </c>
    </row>
    <row r="51" spans="1:17" x14ac:dyDescent="0.25">
      <c r="A51" s="218" t="s">
        <v>70</v>
      </c>
      <c r="B51" s="218" t="s">
        <v>16</v>
      </c>
      <c r="C51" s="218" t="s">
        <v>78</v>
      </c>
      <c r="D51" s="218">
        <v>170</v>
      </c>
      <c r="E51" s="219" t="s">
        <v>74</v>
      </c>
      <c r="F51" s="218" t="s">
        <v>30</v>
      </c>
      <c r="G51" s="218" t="s">
        <v>20</v>
      </c>
      <c r="H51" s="220">
        <v>119.5</v>
      </c>
      <c r="I51" s="221">
        <v>887</v>
      </c>
      <c r="J51" s="225"/>
      <c r="K51" s="225"/>
      <c r="L51" s="223">
        <f t="shared" si="1"/>
        <v>887</v>
      </c>
      <c r="M51" s="223">
        <v>2253.15</v>
      </c>
      <c r="N51" s="218"/>
      <c r="O51" s="218" t="s">
        <v>21</v>
      </c>
      <c r="P51" s="218" t="s">
        <v>22</v>
      </c>
      <c r="Q51" s="218" t="s">
        <v>76</v>
      </c>
    </row>
    <row r="52" spans="1:17" x14ac:dyDescent="0.25">
      <c r="A52" s="218" t="s">
        <v>70</v>
      </c>
      <c r="B52" s="218" t="s">
        <v>16</v>
      </c>
      <c r="C52" s="218" t="s">
        <v>78</v>
      </c>
      <c r="D52" s="218">
        <v>170</v>
      </c>
      <c r="E52" s="219" t="s">
        <v>79</v>
      </c>
      <c r="F52" s="218" t="s">
        <v>30</v>
      </c>
      <c r="G52" s="218" t="s">
        <v>20</v>
      </c>
      <c r="H52" s="220">
        <v>552.5</v>
      </c>
      <c r="I52" s="221">
        <v>612047</v>
      </c>
      <c r="J52" s="225"/>
      <c r="K52" s="225"/>
      <c r="L52" s="223">
        <f t="shared" si="1"/>
        <v>612047</v>
      </c>
      <c r="M52" s="223">
        <v>436566.84299999999</v>
      </c>
      <c r="N52" s="218"/>
      <c r="O52" s="218" t="s">
        <v>21</v>
      </c>
      <c r="P52" s="218" t="s">
        <v>22</v>
      </c>
      <c r="Q52" s="218" t="s">
        <v>89</v>
      </c>
    </row>
    <row r="53" spans="1:17" x14ac:dyDescent="0.25">
      <c r="A53" s="218" t="s">
        <v>70</v>
      </c>
      <c r="B53" s="218" t="s">
        <v>16</v>
      </c>
      <c r="C53" s="218" t="s">
        <v>80</v>
      </c>
      <c r="D53" s="218">
        <v>203</v>
      </c>
      <c r="E53" s="219" t="s">
        <v>18</v>
      </c>
      <c r="F53" s="218" t="s">
        <v>30</v>
      </c>
      <c r="G53" s="218" t="s">
        <v>20</v>
      </c>
      <c r="H53" s="220">
        <v>136</v>
      </c>
      <c r="I53" s="221">
        <v>199295</v>
      </c>
      <c r="J53" s="225"/>
      <c r="K53" s="225"/>
      <c r="L53" s="223">
        <f t="shared" si="1"/>
        <v>199295</v>
      </c>
      <c r="M53" s="223">
        <v>144437.26800000001</v>
      </c>
      <c r="N53" s="218"/>
      <c r="O53" s="218" t="s">
        <v>21</v>
      </c>
      <c r="P53" s="218" t="s">
        <v>22</v>
      </c>
      <c r="Q53" s="218" t="s">
        <v>23</v>
      </c>
    </row>
    <row r="54" spans="1:17" x14ac:dyDescent="0.25">
      <c r="A54" s="218" t="s">
        <v>70</v>
      </c>
      <c r="B54" s="218" t="s">
        <v>16</v>
      </c>
      <c r="C54" s="218" t="s">
        <v>81</v>
      </c>
      <c r="D54" s="218">
        <v>173</v>
      </c>
      <c r="E54" s="219" t="s">
        <v>18</v>
      </c>
      <c r="F54" s="218" t="s">
        <v>30</v>
      </c>
      <c r="G54" s="218" t="s">
        <v>20</v>
      </c>
      <c r="H54" s="220">
        <v>359</v>
      </c>
      <c r="I54" s="221">
        <v>-158</v>
      </c>
      <c r="J54" s="225"/>
      <c r="K54" s="225"/>
      <c r="L54" s="223">
        <f t="shared" si="1"/>
        <v>-158</v>
      </c>
      <c r="M54" s="223">
        <v>0</v>
      </c>
      <c r="N54" s="218"/>
      <c r="O54" s="218" t="s">
        <v>21</v>
      </c>
      <c r="P54" s="218" t="s">
        <v>22</v>
      </c>
      <c r="Q54" s="218" t="s">
        <v>73</v>
      </c>
    </row>
    <row r="55" spans="1:17" x14ac:dyDescent="0.25">
      <c r="A55" s="218" t="s">
        <v>70</v>
      </c>
      <c r="B55" s="218" t="s">
        <v>16</v>
      </c>
      <c r="C55" s="218" t="s">
        <v>81</v>
      </c>
      <c r="D55" s="218">
        <v>173</v>
      </c>
      <c r="E55" s="219" t="s">
        <v>25</v>
      </c>
      <c r="F55" s="218" t="s">
        <v>30</v>
      </c>
      <c r="G55" s="218" t="s">
        <v>20</v>
      </c>
      <c r="H55" s="220">
        <v>544.6</v>
      </c>
      <c r="I55" s="221">
        <v>-95.226600000000005</v>
      </c>
      <c r="J55" s="225"/>
      <c r="K55" s="225"/>
      <c r="L55" s="223">
        <f t="shared" si="1"/>
        <v>-95.226600000000005</v>
      </c>
      <c r="M55" s="223">
        <v>0</v>
      </c>
      <c r="N55" s="218"/>
      <c r="O55" s="218" t="s">
        <v>21</v>
      </c>
      <c r="P55" s="218" t="s">
        <v>22</v>
      </c>
      <c r="Q55" s="218" t="s">
        <v>76</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5"/>
  <sheetViews>
    <sheetView workbookViewId="0">
      <selection sqref="A1:XFD1048576"/>
    </sheetView>
  </sheetViews>
  <sheetFormatPr defaultRowHeight="15" x14ac:dyDescent="0.25"/>
  <cols>
    <col min="1" max="1" width="8.85546875" style="172" bestFit="1" customWidth="1"/>
    <col min="2" max="2" width="27.7109375" style="172" bestFit="1" customWidth="1"/>
    <col min="3" max="3" width="6" style="172" bestFit="1" customWidth="1"/>
    <col min="4" max="4" width="8.28515625" style="172" bestFit="1" customWidth="1"/>
    <col min="5" max="5" width="5" style="172" bestFit="1" customWidth="1"/>
    <col min="6" max="6" width="6.7109375" style="172" bestFit="1" customWidth="1"/>
    <col min="7" max="7" width="9" style="172" bestFit="1" customWidth="1"/>
    <col min="8" max="8" width="9.140625" style="172"/>
    <col min="9" max="9" width="8.85546875" style="172" bestFit="1" customWidth="1"/>
    <col min="10" max="12" width="9.140625" style="172"/>
    <col min="13" max="13" width="26" style="172" bestFit="1" customWidth="1"/>
    <col min="14" max="14" width="8.42578125" style="172" bestFit="1" customWidth="1"/>
    <col min="15" max="15" width="6.42578125" style="172" bestFit="1" customWidth="1"/>
    <col min="16" max="16384" width="9.140625" style="172"/>
  </cols>
  <sheetData>
    <row r="1" spans="1:15" ht="105" x14ac:dyDescent="0.25">
      <c r="A1" s="173" t="s">
        <v>0</v>
      </c>
      <c r="B1" s="213" t="s">
        <v>2</v>
      </c>
      <c r="C1" s="214" t="s">
        <v>3</v>
      </c>
      <c r="D1" s="215" t="s">
        <v>4</v>
      </c>
      <c r="E1" s="176" t="s">
        <v>5</v>
      </c>
      <c r="F1" s="176" t="s">
        <v>6</v>
      </c>
      <c r="G1" s="174" t="s">
        <v>7</v>
      </c>
      <c r="H1" s="177" t="s">
        <v>8</v>
      </c>
      <c r="I1" s="217" t="s">
        <v>9</v>
      </c>
      <c r="J1" s="177" t="s">
        <v>228</v>
      </c>
      <c r="K1" s="177" t="s">
        <v>229</v>
      </c>
      <c r="L1" s="177" t="s">
        <v>10</v>
      </c>
      <c r="M1" s="176" t="s">
        <v>12</v>
      </c>
      <c r="N1" s="176" t="s">
        <v>13</v>
      </c>
      <c r="O1" s="176" t="s">
        <v>14</v>
      </c>
    </row>
    <row r="2" spans="1:15" x14ac:dyDescent="0.25">
      <c r="A2" s="172" t="s">
        <v>15</v>
      </c>
      <c r="B2" s="229" t="s">
        <v>17</v>
      </c>
      <c r="C2" s="229">
        <v>6138</v>
      </c>
      <c r="D2" s="230" t="s">
        <v>18</v>
      </c>
      <c r="E2" s="172" t="s">
        <v>19</v>
      </c>
      <c r="F2" s="172" t="s">
        <v>20</v>
      </c>
      <c r="G2" s="172">
        <v>558</v>
      </c>
      <c r="H2" s="184">
        <v>3791093</v>
      </c>
      <c r="I2" s="231"/>
      <c r="J2" s="184"/>
      <c r="K2" s="232">
        <f t="shared" ref="K2:K45" si="0">H2+J2*0.75/3.412</f>
        <v>3791093</v>
      </c>
      <c r="L2" s="184">
        <v>4150943.8459999999</v>
      </c>
      <c r="M2" s="172" t="s">
        <v>21</v>
      </c>
      <c r="N2" s="172" t="s">
        <v>22</v>
      </c>
      <c r="O2" s="172" t="s">
        <v>23</v>
      </c>
    </row>
    <row r="3" spans="1:15" x14ac:dyDescent="0.25">
      <c r="A3" s="172" t="s">
        <v>15</v>
      </c>
      <c r="B3" s="229" t="s">
        <v>24</v>
      </c>
      <c r="C3" s="229">
        <v>6641</v>
      </c>
      <c r="D3" s="230" t="s">
        <v>18</v>
      </c>
      <c r="E3" s="172" t="s">
        <v>19</v>
      </c>
      <c r="F3" s="172" t="s">
        <v>20</v>
      </c>
      <c r="G3" s="172">
        <v>900</v>
      </c>
      <c r="H3" s="184">
        <v>5293747</v>
      </c>
      <c r="I3" s="231"/>
      <c r="J3" s="184"/>
      <c r="K3" s="232">
        <f t="shared" si="0"/>
        <v>5293747</v>
      </c>
      <c r="L3" s="184">
        <v>5804742.983</v>
      </c>
      <c r="M3" s="172" t="s">
        <v>21</v>
      </c>
      <c r="N3" s="172" t="s">
        <v>22</v>
      </c>
      <c r="O3" s="172" t="s">
        <v>23</v>
      </c>
    </row>
    <row r="4" spans="1:15" x14ac:dyDescent="0.25">
      <c r="A4" s="172" t="s">
        <v>15</v>
      </c>
      <c r="B4" s="229" t="s">
        <v>24</v>
      </c>
      <c r="C4" s="229">
        <v>6641</v>
      </c>
      <c r="D4" s="230" t="s">
        <v>25</v>
      </c>
      <c r="E4" s="172" t="s">
        <v>19</v>
      </c>
      <c r="F4" s="172" t="s">
        <v>20</v>
      </c>
      <c r="G4" s="172">
        <v>900</v>
      </c>
      <c r="H4" s="184">
        <v>5126271</v>
      </c>
      <c r="I4" s="231"/>
      <c r="J4" s="184"/>
      <c r="K4" s="232">
        <f t="shared" si="0"/>
        <v>5126271</v>
      </c>
      <c r="L4" s="184">
        <v>5996078.2340000002</v>
      </c>
      <c r="M4" s="172" t="s">
        <v>21</v>
      </c>
      <c r="N4" s="172" t="s">
        <v>22</v>
      </c>
      <c r="O4" s="172" t="s">
        <v>23</v>
      </c>
    </row>
    <row r="5" spans="1:15" x14ac:dyDescent="0.25">
      <c r="A5" s="172" t="s">
        <v>15</v>
      </c>
      <c r="B5" s="229" t="s">
        <v>91</v>
      </c>
      <c r="C5" s="229">
        <v>56564</v>
      </c>
      <c r="D5" s="230" t="s">
        <v>18</v>
      </c>
      <c r="E5" s="172" t="s">
        <v>19</v>
      </c>
      <c r="F5" s="172" t="s">
        <v>20</v>
      </c>
      <c r="G5" s="172">
        <v>609</v>
      </c>
      <c r="H5" s="184">
        <v>294975</v>
      </c>
      <c r="I5" s="231"/>
      <c r="J5" s="184"/>
      <c r="K5" s="232">
        <f t="shared" si="0"/>
        <v>294975</v>
      </c>
      <c r="L5" s="184">
        <v>188785.64799999999</v>
      </c>
      <c r="M5" s="172" t="s">
        <v>21</v>
      </c>
      <c r="N5" s="172" t="s">
        <v>22</v>
      </c>
      <c r="O5" s="172" t="s">
        <v>23</v>
      </c>
    </row>
    <row r="6" spans="1:15" x14ac:dyDescent="0.25">
      <c r="A6" s="172" t="s">
        <v>15</v>
      </c>
      <c r="B6" s="229" t="s">
        <v>82</v>
      </c>
      <c r="C6" s="229">
        <v>56456</v>
      </c>
      <c r="D6" s="230" t="s">
        <v>66</v>
      </c>
      <c r="E6" s="172" t="s">
        <v>19</v>
      </c>
      <c r="F6" s="172" t="s">
        <v>20</v>
      </c>
      <c r="G6" s="172">
        <v>720</v>
      </c>
      <c r="H6" s="184">
        <v>4366528</v>
      </c>
      <c r="I6" s="231"/>
      <c r="J6" s="184"/>
      <c r="K6" s="232">
        <f t="shared" si="0"/>
        <v>4366528</v>
      </c>
      <c r="L6" s="184">
        <v>4944118.0659999996</v>
      </c>
      <c r="M6" s="172" t="s">
        <v>86</v>
      </c>
      <c r="N6" s="172" t="s">
        <v>22</v>
      </c>
      <c r="O6" s="172" t="s">
        <v>23</v>
      </c>
    </row>
    <row r="7" spans="1:15" x14ac:dyDescent="0.25">
      <c r="A7" s="172" t="s">
        <v>15</v>
      </c>
      <c r="B7" s="229" t="s">
        <v>26</v>
      </c>
      <c r="C7" s="229">
        <v>6009</v>
      </c>
      <c r="D7" s="230" t="s">
        <v>18</v>
      </c>
      <c r="E7" s="172" t="s">
        <v>19</v>
      </c>
      <c r="F7" s="172" t="s">
        <v>20</v>
      </c>
      <c r="G7" s="172">
        <v>900</v>
      </c>
      <c r="H7" s="184">
        <v>4500415</v>
      </c>
      <c r="I7" s="231"/>
      <c r="J7" s="184"/>
      <c r="K7" s="232">
        <f t="shared" si="0"/>
        <v>4500415</v>
      </c>
      <c r="L7" s="184">
        <v>5314861.5530000003</v>
      </c>
      <c r="M7" s="172" t="s">
        <v>21</v>
      </c>
      <c r="N7" s="172" t="s">
        <v>22</v>
      </c>
      <c r="O7" s="172" t="s">
        <v>23</v>
      </c>
    </row>
    <row r="8" spans="1:15" x14ac:dyDescent="0.25">
      <c r="A8" s="172" t="s">
        <v>15</v>
      </c>
      <c r="B8" s="229" t="s">
        <v>26</v>
      </c>
      <c r="C8" s="229">
        <v>6009</v>
      </c>
      <c r="D8" s="230" t="s">
        <v>25</v>
      </c>
      <c r="E8" s="172" t="s">
        <v>19</v>
      </c>
      <c r="F8" s="172" t="s">
        <v>20</v>
      </c>
      <c r="G8" s="172">
        <v>900</v>
      </c>
      <c r="H8" s="184">
        <v>5005802</v>
      </c>
      <c r="I8" s="231"/>
      <c r="J8" s="184"/>
      <c r="K8" s="232">
        <f t="shared" si="0"/>
        <v>5005802</v>
      </c>
      <c r="L8" s="184">
        <v>5897951.3339999998</v>
      </c>
      <c r="M8" s="172" t="s">
        <v>21</v>
      </c>
      <c r="N8" s="172" t="s">
        <v>22</v>
      </c>
      <c r="O8" s="172" t="s">
        <v>23</v>
      </c>
    </row>
    <row r="9" spans="1:15" x14ac:dyDescent="0.25">
      <c r="A9" s="172" t="s">
        <v>27</v>
      </c>
      <c r="B9" s="229" t="s">
        <v>28</v>
      </c>
      <c r="C9" s="229">
        <v>55340</v>
      </c>
      <c r="D9" s="230" t="s">
        <v>29</v>
      </c>
      <c r="E9" s="172" t="s">
        <v>30</v>
      </c>
      <c r="F9" s="172" t="s">
        <v>31</v>
      </c>
      <c r="G9" s="172">
        <v>199.3</v>
      </c>
      <c r="H9" s="184">
        <v>336511.49950000003</v>
      </c>
      <c r="I9" s="231"/>
      <c r="J9" s="184"/>
      <c r="K9" s="232">
        <f t="shared" si="0"/>
        <v>336511.49950000003</v>
      </c>
      <c r="L9" s="184">
        <v>172753.63399999999</v>
      </c>
      <c r="M9" s="172" t="s">
        <v>21</v>
      </c>
      <c r="N9" s="172" t="s">
        <v>22</v>
      </c>
      <c r="O9" s="172" t="s">
        <v>23</v>
      </c>
    </row>
    <row r="10" spans="1:15" x14ac:dyDescent="0.25">
      <c r="A10" s="172" t="s">
        <v>27</v>
      </c>
      <c r="B10" s="229" t="s">
        <v>28</v>
      </c>
      <c r="C10" s="229">
        <v>55340</v>
      </c>
      <c r="D10" s="230" t="s">
        <v>32</v>
      </c>
      <c r="E10" s="172" t="s">
        <v>30</v>
      </c>
      <c r="F10" s="172" t="s">
        <v>31</v>
      </c>
      <c r="G10" s="172">
        <v>199.3</v>
      </c>
      <c r="H10" s="184">
        <v>336511.49950000003</v>
      </c>
      <c r="I10" s="231"/>
      <c r="J10" s="184"/>
      <c r="K10" s="232">
        <f t="shared" si="0"/>
        <v>336511.49950000003</v>
      </c>
      <c r="L10" s="184">
        <v>144552.16500000001</v>
      </c>
      <c r="M10" s="172" t="s">
        <v>21</v>
      </c>
      <c r="N10" s="172" t="s">
        <v>22</v>
      </c>
      <c r="O10" s="172" t="s">
        <v>23</v>
      </c>
    </row>
    <row r="11" spans="1:15" x14ac:dyDescent="0.25">
      <c r="A11" s="172" t="s">
        <v>27</v>
      </c>
      <c r="B11" s="229" t="s">
        <v>28</v>
      </c>
      <c r="C11" s="229">
        <v>55340</v>
      </c>
      <c r="D11" s="230" t="s">
        <v>33</v>
      </c>
      <c r="E11" s="172" t="s">
        <v>30</v>
      </c>
      <c r="F11" s="172" t="s">
        <v>34</v>
      </c>
      <c r="G11" s="172">
        <v>280.5</v>
      </c>
      <c r="H11" s="184">
        <v>14786</v>
      </c>
      <c r="I11" s="231"/>
      <c r="J11" s="184"/>
      <c r="K11" s="232">
        <f t="shared" si="0"/>
        <v>14786</v>
      </c>
      <c r="L11" s="184">
        <v>7818.3828259973907</v>
      </c>
      <c r="M11" s="172" t="s">
        <v>21</v>
      </c>
      <c r="N11" s="172" t="s">
        <v>22</v>
      </c>
      <c r="O11" s="172" t="s">
        <v>23</v>
      </c>
    </row>
    <row r="12" spans="1:15" x14ac:dyDescent="0.25">
      <c r="A12" s="172" t="s">
        <v>27</v>
      </c>
      <c r="B12" s="229" t="s">
        <v>35</v>
      </c>
      <c r="C12" s="229">
        <v>55221</v>
      </c>
      <c r="D12" s="230" t="s">
        <v>36</v>
      </c>
      <c r="E12" s="172" t="s">
        <v>30</v>
      </c>
      <c r="F12" s="172" t="s">
        <v>31</v>
      </c>
      <c r="G12" s="172">
        <v>51</v>
      </c>
      <c r="H12" s="184">
        <v>36798.300385109113</v>
      </c>
      <c r="I12" s="231"/>
      <c r="J12" s="184"/>
      <c r="K12" s="232">
        <f t="shared" si="0"/>
        <v>36798.300385109113</v>
      </c>
      <c r="L12" s="184">
        <v>21819.899000000001</v>
      </c>
      <c r="M12" s="172" t="s">
        <v>21</v>
      </c>
      <c r="N12" s="172" t="s">
        <v>22</v>
      </c>
      <c r="O12" s="172" t="s">
        <v>23</v>
      </c>
    </row>
    <row r="13" spans="1:15" x14ac:dyDescent="0.25">
      <c r="A13" s="172" t="s">
        <v>27</v>
      </c>
      <c r="B13" s="229" t="s">
        <v>35</v>
      </c>
      <c r="C13" s="229">
        <v>55221</v>
      </c>
      <c r="D13" s="230" t="s">
        <v>37</v>
      </c>
      <c r="E13" s="172" t="s">
        <v>30</v>
      </c>
      <c r="F13" s="172" t="s">
        <v>31</v>
      </c>
      <c r="G13" s="172">
        <v>51</v>
      </c>
      <c r="H13" s="184">
        <v>36798.300385109113</v>
      </c>
      <c r="I13" s="231"/>
      <c r="J13" s="184"/>
      <c r="K13" s="232">
        <f t="shared" si="0"/>
        <v>36798.300385109113</v>
      </c>
      <c r="L13" s="184">
        <v>21971.010999999999</v>
      </c>
      <c r="M13" s="172" t="s">
        <v>21</v>
      </c>
      <c r="N13" s="172" t="s">
        <v>22</v>
      </c>
      <c r="O13" s="172" t="s">
        <v>23</v>
      </c>
    </row>
    <row r="14" spans="1:15" x14ac:dyDescent="0.25">
      <c r="A14" s="172" t="s">
        <v>27</v>
      </c>
      <c r="B14" s="229" t="s">
        <v>35</v>
      </c>
      <c r="C14" s="229">
        <v>55221</v>
      </c>
      <c r="D14" s="230" t="s">
        <v>38</v>
      </c>
      <c r="E14" s="172" t="s">
        <v>30</v>
      </c>
      <c r="F14" s="172" t="s">
        <v>31</v>
      </c>
      <c r="G14" s="172">
        <v>51</v>
      </c>
      <c r="H14" s="184">
        <v>36798.300385109113</v>
      </c>
      <c r="I14" s="231"/>
      <c r="J14" s="184"/>
      <c r="K14" s="232">
        <f t="shared" si="0"/>
        <v>36798.300385109113</v>
      </c>
      <c r="L14" s="184">
        <v>20759.044999999998</v>
      </c>
      <c r="M14" s="172" t="s">
        <v>21</v>
      </c>
      <c r="N14" s="172" t="s">
        <v>22</v>
      </c>
      <c r="O14" s="172" t="s">
        <v>23</v>
      </c>
    </row>
    <row r="15" spans="1:15" x14ac:dyDescent="0.25">
      <c r="A15" s="172" t="s">
        <v>27</v>
      </c>
      <c r="B15" s="229" t="s">
        <v>35</v>
      </c>
      <c r="C15" s="229">
        <v>55221</v>
      </c>
      <c r="D15" s="230" t="s">
        <v>39</v>
      </c>
      <c r="E15" s="172" t="s">
        <v>30</v>
      </c>
      <c r="F15" s="172" t="s">
        <v>31</v>
      </c>
      <c r="G15" s="172">
        <v>51</v>
      </c>
      <c r="H15" s="184">
        <v>36798.300385109113</v>
      </c>
      <c r="I15" s="231"/>
      <c r="J15" s="184"/>
      <c r="K15" s="232">
        <f t="shared" si="0"/>
        <v>36798.300385109113</v>
      </c>
      <c r="L15" s="184">
        <v>20795.256000000001</v>
      </c>
      <c r="M15" s="172" t="s">
        <v>21</v>
      </c>
      <c r="N15" s="172" t="s">
        <v>22</v>
      </c>
      <c r="O15" s="172" t="s">
        <v>23</v>
      </c>
    </row>
    <row r="16" spans="1:15" x14ac:dyDescent="0.25">
      <c r="A16" s="172" t="s">
        <v>27</v>
      </c>
      <c r="B16" s="229" t="s">
        <v>35</v>
      </c>
      <c r="C16" s="229">
        <v>55221</v>
      </c>
      <c r="D16" s="230" t="s">
        <v>40</v>
      </c>
      <c r="E16" s="172" t="s">
        <v>30</v>
      </c>
      <c r="F16" s="172" t="s">
        <v>31</v>
      </c>
      <c r="G16" s="172">
        <v>51</v>
      </c>
      <c r="H16" s="184">
        <v>36798.300385109113</v>
      </c>
      <c r="I16" s="231"/>
      <c r="J16" s="184"/>
      <c r="K16" s="232">
        <f t="shared" si="0"/>
        <v>36798.300385109113</v>
      </c>
      <c r="L16" s="184">
        <v>17788.137999999999</v>
      </c>
      <c r="M16" s="172" t="s">
        <v>21</v>
      </c>
      <c r="N16" s="172" t="s">
        <v>22</v>
      </c>
      <c r="O16" s="172" t="s">
        <v>23</v>
      </c>
    </row>
    <row r="17" spans="1:15" x14ac:dyDescent="0.25">
      <c r="A17" s="172" t="s">
        <v>27</v>
      </c>
      <c r="B17" s="229" t="s">
        <v>35</v>
      </c>
      <c r="C17" s="229">
        <v>55221</v>
      </c>
      <c r="D17" s="230" t="s">
        <v>41</v>
      </c>
      <c r="E17" s="172" t="s">
        <v>30</v>
      </c>
      <c r="F17" s="172" t="s">
        <v>31</v>
      </c>
      <c r="G17" s="172">
        <v>51</v>
      </c>
      <c r="H17" s="184">
        <v>36798.300385109113</v>
      </c>
      <c r="I17" s="231"/>
      <c r="J17" s="184"/>
      <c r="K17" s="232">
        <f t="shared" si="0"/>
        <v>36798.300385109113</v>
      </c>
      <c r="L17" s="184">
        <v>19170.63</v>
      </c>
      <c r="M17" s="172" t="s">
        <v>21</v>
      </c>
      <c r="N17" s="172" t="s">
        <v>22</v>
      </c>
      <c r="O17" s="172" t="s">
        <v>23</v>
      </c>
    </row>
    <row r="18" spans="1:15" x14ac:dyDescent="0.25">
      <c r="A18" s="172" t="s">
        <v>27</v>
      </c>
      <c r="B18" s="229" t="s">
        <v>35</v>
      </c>
      <c r="C18" s="229">
        <v>55221</v>
      </c>
      <c r="D18" s="230" t="s">
        <v>42</v>
      </c>
      <c r="E18" s="172" t="s">
        <v>30</v>
      </c>
      <c r="F18" s="172" t="s">
        <v>31</v>
      </c>
      <c r="G18" s="172">
        <v>83.5</v>
      </c>
      <c r="H18" s="184">
        <v>60248.197689345317</v>
      </c>
      <c r="I18" s="231"/>
      <c r="J18" s="184"/>
      <c r="K18" s="232">
        <f t="shared" si="0"/>
        <v>60248.197689345317</v>
      </c>
      <c r="L18" s="184">
        <v>58110.966999999997</v>
      </c>
      <c r="M18" s="172" t="s">
        <v>21</v>
      </c>
      <c r="N18" s="172" t="s">
        <v>22</v>
      </c>
      <c r="O18" s="172" t="s">
        <v>23</v>
      </c>
    </row>
    <row r="19" spans="1:15" x14ac:dyDescent="0.25">
      <c r="A19" s="172" t="s">
        <v>27</v>
      </c>
      <c r="B19" s="229" t="s">
        <v>35</v>
      </c>
      <c r="C19" s="229">
        <v>55221</v>
      </c>
      <c r="D19" s="230" t="s">
        <v>43</v>
      </c>
      <c r="E19" s="172" t="s">
        <v>30</v>
      </c>
      <c r="F19" s="172" t="s">
        <v>34</v>
      </c>
      <c r="G19" s="172">
        <v>105</v>
      </c>
      <c r="H19" s="184">
        <v>75327</v>
      </c>
      <c r="I19" s="231"/>
      <c r="J19" s="184"/>
      <c r="K19" s="232">
        <f t="shared" si="0"/>
        <v>75327</v>
      </c>
      <c r="L19" s="184">
        <v>0</v>
      </c>
      <c r="M19" s="172" t="s">
        <v>21</v>
      </c>
      <c r="N19" s="172" t="s">
        <v>22</v>
      </c>
      <c r="O19" s="172" t="s">
        <v>23</v>
      </c>
    </row>
    <row r="20" spans="1:15" x14ac:dyDescent="0.25">
      <c r="A20" s="172" t="s">
        <v>27</v>
      </c>
      <c r="B20" s="229" t="s">
        <v>35</v>
      </c>
      <c r="C20" s="229">
        <v>55221</v>
      </c>
      <c r="D20" s="230" t="s">
        <v>44</v>
      </c>
      <c r="E20" s="172" t="s">
        <v>30</v>
      </c>
      <c r="F20" s="172" t="s">
        <v>34</v>
      </c>
      <c r="G20" s="172">
        <v>105</v>
      </c>
      <c r="H20" s="184">
        <v>0</v>
      </c>
      <c r="I20" s="231"/>
      <c r="J20" s="184"/>
      <c r="K20" s="232">
        <f t="shared" si="0"/>
        <v>0</v>
      </c>
      <c r="L20" s="184">
        <v>0</v>
      </c>
      <c r="M20" s="172" t="s">
        <v>21</v>
      </c>
      <c r="N20" s="172" t="s">
        <v>22</v>
      </c>
      <c r="O20" s="172" t="s">
        <v>23</v>
      </c>
    </row>
    <row r="21" spans="1:15" x14ac:dyDescent="0.25">
      <c r="A21" s="172" t="s">
        <v>27</v>
      </c>
      <c r="B21" s="229" t="s">
        <v>92</v>
      </c>
      <c r="C21" s="229">
        <v>55418</v>
      </c>
      <c r="D21" s="230" t="s">
        <v>51</v>
      </c>
      <c r="E21" s="172" t="s">
        <v>30</v>
      </c>
      <c r="F21" s="172" t="s">
        <v>31</v>
      </c>
      <c r="G21" s="172">
        <v>198.9</v>
      </c>
      <c r="H21" s="184">
        <v>150125</v>
      </c>
      <c r="I21" s="231"/>
      <c r="J21" s="184"/>
      <c r="K21" s="232">
        <f t="shared" si="0"/>
        <v>150125</v>
      </c>
      <c r="L21" s="184">
        <v>115396.18700000001</v>
      </c>
      <c r="M21" s="172" t="s">
        <v>21</v>
      </c>
      <c r="N21" s="172" t="s">
        <v>22</v>
      </c>
      <c r="O21" s="172" t="s">
        <v>23</v>
      </c>
    </row>
    <row r="22" spans="1:15" x14ac:dyDescent="0.25">
      <c r="A22" s="172" t="s">
        <v>27</v>
      </c>
      <c r="B22" s="229" t="s">
        <v>92</v>
      </c>
      <c r="C22" s="229">
        <v>55418</v>
      </c>
      <c r="D22" s="230" t="s">
        <v>52</v>
      </c>
      <c r="E22" s="172" t="s">
        <v>30</v>
      </c>
      <c r="F22" s="172" t="s">
        <v>31</v>
      </c>
      <c r="G22" s="172">
        <v>198.9</v>
      </c>
      <c r="H22" s="184">
        <v>150125</v>
      </c>
      <c r="I22" s="231"/>
      <c r="J22" s="184"/>
      <c r="K22" s="232">
        <f t="shared" si="0"/>
        <v>150125</v>
      </c>
      <c r="L22" s="184">
        <v>110758.467</v>
      </c>
      <c r="M22" s="172" t="s">
        <v>21</v>
      </c>
      <c r="N22" s="172" t="s">
        <v>22</v>
      </c>
      <c r="O22" s="172" t="s">
        <v>23</v>
      </c>
    </row>
    <row r="23" spans="1:15" x14ac:dyDescent="0.25">
      <c r="A23" s="172" t="s">
        <v>27</v>
      </c>
      <c r="B23" s="229" t="s">
        <v>92</v>
      </c>
      <c r="C23" s="229">
        <v>55418</v>
      </c>
      <c r="D23" s="230" t="s">
        <v>49</v>
      </c>
      <c r="E23" s="172" t="s">
        <v>30</v>
      </c>
      <c r="F23" s="172" t="s">
        <v>34</v>
      </c>
      <c r="G23" s="172">
        <v>317</v>
      </c>
      <c r="H23" s="184">
        <v>213384</v>
      </c>
      <c r="I23" s="231"/>
      <c r="J23" s="184"/>
      <c r="K23" s="232">
        <f t="shared" si="0"/>
        <v>213384</v>
      </c>
      <c r="L23" s="184">
        <v>25628.146054720441</v>
      </c>
      <c r="M23" s="172" t="s">
        <v>21</v>
      </c>
      <c r="N23" s="172" t="s">
        <v>22</v>
      </c>
      <c r="O23" s="172" t="s">
        <v>23</v>
      </c>
    </row>
    <row r="24" spans="1:15" x14ac:dyDescent="0.25">
      <c r="A24" s="172" t="s">
        <v>27</v>
      </c>
      <c r="B24" s="229" t="s">
        <v>93</v>
      </c>
      <c r="C24" s="229">
        <v>55714</v>
      </c>
      <c r="D24" s="230" t="s">
        <v>46</v>
      </c>
      <c r="E24" s="172" t="s">
        <v>30</v>
      </c>
      <c r="F24" s="172" t="s">
        <v>31</v>
      </c>
      <c r="G24" s="172">
        <v>242</v>
      </c>
      <c r="H24" s="184">
        <v>818923</v>
      </c>
      <c r="I24" s="231"/>
      <c r="J24" s="184"/>
      <c r="K24" s="232">
        <f t="shared" si="0"/>
        <v>818923</v>
      </c>
      <c r="L24" s="184">
        <v>553025.07499999995</v>
      </c>
      <c r="M24" s="172" t="s">
        <v>21</v>
      </c>
      <c r="N24" s="172" t="s">
        <v>22</v>
      </c>
      <c r="O24" s="172" t="s">
        <v>23</v>
      </c>
    </row>
    <row r="25" spans="1:15" x14ac:dyDescent="0.25">
      <c r="A25" s="172" t="s">
        <v>27</v>
      </c>
      <c r="B25" s="229" t="s">
        <v>93</v>
      </c>
      <c r="C25" s="229">
        <v>55714</v>
      </c>
      <c r="D25" s="230" t="s">
        <v>48</v>
      </c>
      <c r="E25" s="172" t="s">
        <v>30</v>
      </c>
      <c r="F25" s="172" t="s">
        <v>31</v>
      </c>
      <c r="G25" s="172">
        <v>242</v>
      </c>
      <c r="H25" s="184">
        <v>818923</v>
      </c>
      <c r="I25" s="231"/>
      <c r="J25" s="184"/>
      <c r="K25" s="232">
        <f t="shared" si="0"/>
        <v>818923</v>
      </c>
      <c r="L25" s="184">
        <v>529125.32999999996</v>
      </c>
      <c r="M25" s="172" t="s">
        <v>21</v>
      </c>
      <c r="N25" s="172" t="s">
        <v>22</v>
      </c>
      <c r="O25" s="172" t="s">
        <v>23</v>
      </c>
    </row>
    <row r="26" spans="1:15" x14ac:dyDescent="0.25">
      <c r="A26" s="172" t="s">
        <v>27</v>
      </c>
      <c r="B26" s="229" t="s">
        <v>93</v>
      </c>
      <c r="C26" s="229">
        <v>55714</v>
      </c>
      <c r="D26" s="230" t="s">
        <v>49</v>
      </c>
      <c r="E26" s="172" t="s">
        <v>30</v>
      </c>
      <c r="F26" s="172" t="s">
        <v>34</v>
      </c>
      <c r="G26" s="172">
        <v>262</v>
      </c>
      <c r="H26" s="184">
        <v>940675</v>
      </c>
      <c r="I26" s="231"/>
      <c r="J26" s="184"/>
      <c r="K26" s="232">
        <f t="shared" si="0"/>
        <v>940675</v>
      </c>
      <c r="L26" s="184">
        <v>7606.0763671165496</v>
      </c>
      <c r="M26" s="172" t="s">
        <v>21</v>
      </c>
      <c r="N26" s="172" t="s">
        <v>22</v>
      </c>
      <c r="O26" s="172" t="s">
        <v>23</v>
      </c>
    </row>
    <row r="27" spans="1:15" x14ac:dyDescent="0.25">
      <c r="A27" s="172" t="s">
        <v>27</v>
      </c>
      <c r="B27" s="229" t="s">
        <v>53</v>
      </c>
      <c r="C27" s="229">
        <v>55075</v>
      </c>
      <c r="D27" s="230" t="s">
        <v>54</v>
      </c>
      <c r="E27" s="172" t="s">
        <v>30</v>
      </c>
      <c r="F27" s="172" t="s">
        <v>31</v>
      </c>
      <c r="G27" s="172">
        <v>180</v>
      </c>
      <c r="H27" s="184">
        <v>1195860</v>
      </c>
      <c r="I27" s="183">
        <v>0.51887578109537602</v>
      </c>
      <c r="J27" s="184">
        <f>(4/3)*3.412*H27*(1/I27-1)</f>
        <v>5044544.0357801784</v>
      </c>
      <c r="K27" s="232">
        <f t="shared" si="0"/>
        <v>2304713.4662471083</v>
      </c>
      <c r="L27" s="184">
        <v>842709.28899999999</v>
      </c>
      <c r="M27" s="172" t="s">
        <v>55</v>
      </c>
      <c r="N27" s="172" t="s">
        <v>56</v>
      </c>
      <c r="O27" s="172" t="s">
        <v>23</v>
      </c>
    </row>
    <row r="28" spans="1:15" x14ac:dyDescent="0.25">
      <c r="A28" s="172" t="s">
        <v>27</v>
      </c>
      <c r="B28" s="229" t="s">
        <v>53</v>
      </c>
      <c r="C28" s="229">
        <v>55075</v>
      </c>
      <c r="D28" s="230" t="s">
        <v>57</v>
      </c>
      <c r="E28" s="172" t="s">
        <v>30</v>
      </c>
      <c r="F28" s="172" t="s">
        <v>34</v>
      </c>
      <c r="G28" s="172">
        <v>56</v>
      </c>
      <c r="H28" s="184">
        <v>293245</v>
      </c>
      <c r="I28" s="231"/>
      <c r="J28" s="184"/>
      <c r="K28" s="232">
        <f t="shared" si="0"/>
        <v>293245</v>
      </c>
      <c r="L28" s="184">
        <v>22277.8532791045</v>
      </c>
      <c r="M28" s="172" t="s">
        <v>55</v>
      </c>
      <c r="N28" s="172" t="s">
        <v>56</v>
      </c>
      <c r="O28" s="172" t="s">
        <v>23</v>
      </c>
    </row>
    <row r="29" spans="1:15" x14ac:dyDescent="0.25">
      <c r="A29" s="172" t="s">
        <v>27</v>
      </c>
      <c r="B29" s="229" t="s">
        <v>58</v>
      </c>
      <c r="C29" s="229">
        <v>201</v>
      </c>
      <c r="D29" s="230" t="s">
        <v>18</v>
      </c>
      <c r="E29" s="172" t="s">
        <v>30</v>
      </c>
      <c r="F29" s="172" t="s">
        <v>34</v>
      </c>
      <c r="G29" s="172">
        <v>59</v>
      </c>
      <c r="H29" s="184">
        <v>27901</v>
      </c>
      <c r="I29" s="231"/>
      <c r="J29" s="184"/>
      <c r="K29" s="232">
        <f t="shared" si="0"/>
        <v>27901</v>
      </c>
      <c r="L29" s="184">
        <v>0</v>
      </c>
      <c r="M29" s="172" t="s">
        <v>21</v>
      </c>
      <c r="N29" s="172" t="s">
        <v>22</v>
      </c>
      <c r="O29" s="172" t="s">
        <v>23</v>
      </c>
    </row>
    <row r="30" spans="1:15" x14ac:dyDescent="0.25">
      <c r="A30" s="172" t="s">
        <v>27</v>
      </c>
      <c r="B30" s="229" t="s">
        <v>58</v>
      </c>
      <c r="C30" s="229">
        <v>201</v>
      </c>
      <c r="D30" s="230" t="s">
        <v>25</v>
      </c>
      <c r="E30" s="172" t="s">
        <v>30</v>
      </c>
      <c r="F30" s="172" t="s">
        <v>31</v>
      </c>
      <c r="G30" s="172">
        <v>126</v>
      </c>
      <c r="H30" s="184">
        <v>86558</v>
      </c>
      <c r="I30" s="231"/>
      <c r="J30" s="184"/>
      <c r="K30" s="232">
        <f t="shared" si="0"/>
        <v>86558</v>
      </c>
      <c r="L30" s="184">
        <v>64817.559000000001</v>
      </c>
      <c r="M30" s="172" t="s">
        <v>21</v>
      </c>
      <c r="N30" s="172" t="s">
        <v>22</v>
      </c>
      <c r="O30" s="172" t="s">
        <v>23</v>
      </c>
    </row>
    <row r="31" spans="1:15" x14ac:dyDescent="0.25">
      <c r="A31" s="172" t="s">
        <v>27</v>
      </c>
      <c r="B31" s="229" t="s">
        <v>59</v>
      </c>
      <c r="C31" s="229">
        <v>55380</v>
      </c>
      <c r="D31" s="230" t="s">
        <v>29</v>
      </c>
      <c r="E31" s="172" t="s">
        <v>30</v>
      </c>
      <c r="F31" s="172" t="s">
        <v>31</v>
      </c>
      <c r="G31" s="172">
        <v>176</v>
      </c>
      <c r="H31" s="184">
        <v>762576.75</v>
      </c>
      <c r="I31" s="231"/>
      <c r="J31" s="184"/>
      <c r="K31" s="232">
        <f t="shared" si="0"/>
        <v>762576.75</v>
      </c>
      <c r="L31" s="184">
        <v>498427.837</v>
      </c>
      <c r="M31" s="172" t="s">
        <v>86</v>
      </c>
      <c r="N31" s="172" t="s">
        <v>22</v>
      </c>
      <c r="O31" s="172" t="s">
        <v>23</v>
      </c>
    </row>
    <row r="32" spans="1:15" x14ac:dyDescent="0.25">
      <c r="A32" s="172" t="s">
        <v>27</v>
      </c>
      <c r="B32" s="229" t="s">
        <v>59</v>
      </c>
      <c r="C32" s="229">
        <v>55380</v>
      </c>
      <c r="D32" s="230" t="s">
        <v>32</v>
      </c>
      <c r="E32" s="172" t="s">
        <v>30</v>
      </c>
      <c r="F32" s="172" t="s">
        <v>31</v>
      </c>
      <c r="G32" s="172">
        <v>176</v>
      </c>
      <c r="H32" s="184">
        <v>762576.75</v>
      </c>
      <c r="I32" s="231"/>
      <c r="J32" s="184"/>
      <c r="K32" s="232">
        <f t="shared" si="0"/>
        <v>762576.75</v>
      </c>
      <c r="L32" s="184">
        <v>502254.62900000002</v>
      </c>
      <c r="M32" s="172" t="s">
        <v>86</v>
      </c>
      <c r="N32" s="172" t="s">
        <v>22</v>
      </c>
      <c r="O32" s="172" t="s">
        <v>23</v>
      </c>
    </row>
    <row r="33" spans="1:15" x14ac:dyDescent="0.25">
      <c r="A33" s="172" t="s">
        <v>27</v>
      </c>
      <c r="B33" s="229" t="s">
        <v>59</v>
      </c>
      <c r="C33" s="229">
        <v>55380</v>
      </c>
      <c r="D33" s="230" t="s">
        <v>60</v>
      </c>
      <c r="E33" s="172" t="s">
        <v>30</v>
      </c>
      <c r="F33" s="172" t="s">
        <v>31</v>
      </c>
      <c r="G33" s="172">
        <v>176</v>
      </c>
      <c r="H33" s="184">
        <v>762576.75</v>
      </c>
      <c r="I33" s="231"/>
      <c r="J33" s="184"/>
      <c r="K33" s="232">
        <f t="shared" si="0"/>
        <v>762576.75</v>
      </c>
      <c r="L33" s="184">
        <v>448671.40600000002</v>
      </c>
      <c r="M33" s="172" t="s">
        <v>86</v>
      </c>
      <c r="N33" s="172" t="s">
        <v>22</v>
      </c>
      <c r="O33" s="172" t="s">
        <v>23</v>
      </c>
    </row>
    <row r="34" spans="1:15" x14ac:dyDescent="0.25">
      <c r="A34" s="172" t="s">
        <v>27</v>
      </c>
      <c r="B34" s="229" t="s">
        <v>59</v>
      </c>
      <c r="C34" s="229">
        <v>55380</v>
      </c>
      <c r="D34" s="230" t="s">
        <v>61</v>
      </c>
      <c r="E34" s="172" t="s">
        <v>30</v>
      </c>
      <c r="F34" s="172" t="s">
        <v>31</v>
      </c>
      <c r="G34" s="172">
        <v>176</v>
      </c>
      <c r="H34" s="184">
        <v>762576.75</v>
      </c>
      <c r="I34" s="231"/>
      <c r="J34" s="184"/>
      <c r="K34" s="232">
        <f t="shared" si="0"/>
        <v>762576.75</v>
      </c>
      <c r="L34" s="184">
        <v>449744.56400000001</v>
      </c>
      <c r="M34" s="172" t="s">
        <v>86</v>
      </c>
      <c r="N34" s="172" t="s">
        <v>22</v>
      </c>
      <c r="O34" s="172" t="s">
        <v>23</v>
      </c>
    </row>
    <row r="35" spans="1:15" x14ac:dyDescent="0.25">
      <c r="A35" s="172" t="s">
        <v>27</v>
      </c>
      <c r="B35" s="229" t="s">
        <v>59</v>
      </c>
      <c r="C35" s="229">
        <v>55380</v>
      </c>
      <c r="D35" s="230" t="s">
        <v>62</v>
      </c>
      <c r="E35" s="172" t="s">
        <v>30</v>
      </c>
      <c r="F35" s="172" t="s">
        <v>31</v>
      </c>
      <c r="G35" s="172">
        <v>176</v>
      </c>
      <c r="H35" s="184">
        <v>762576.75</v>
      </c>
      <c r="I35" s="231"/>
      <c r="J35" s="184"/>
      <c r="K35" s="232">
        <f t="shared" si="0"/>
        <v>762576.75</v>
      </c>
      <c r="L35" s="184">
        <v>603254.32299999997</v>
      </c>
      <c r="M35" s="172" t="s">
        <v>86</v>
      </c>
      <c r="N35" s="172" t="s">
        <v>22</v>
      </c>
      <c r="O35" s="172" t="s">
        <v>23</v>
      </c>
    </row>
    <row r="36" spans="1:15" x14ac:dyDescent="0.25">
      <c r="A36" s="172" t="s">
        <v>27</v>
      </c>
      <c r="B36" s="229" t="s">
        <v>59</v>
      </c>
      <c r="C36" s="229">
        <v>55380</v>
      </c>
      <c r="D36" s="230" t="s">
        <v>63</v>
      </c>
      <c r="E36" s="172" t="s">
        <v>30</v>
      </c>
      <c r="F36" s="172" t="s">
        <v>31</v>
      </c>
      <c r="G36" s="172">
        <v>176</v>
      </c>
      <c r="H36" s="184">
        <v>762576.75</v>
      </c>
      <c r="I36" s="231"/>
      <c r="J36" s="184"/>
      <c r="K36" s="232">
        <f t="shared" si="0"/>
        <v>762576.75</v>
      </c>
      <c r="L36" s="184">
        <v>532432.18900000001</v>
      </c>
      <c r="M36" s="172" t="s">
        <v>86</v>
      </c>
      <c r="N36" s="172" t="s">
        <v>22</v>
      </c>
      <c r="O36" s="172" t="s">
        <v>23</v>
      </c>
    </row>
    <row r="37" spans="1:15" x14ac:dyDescent="0.25">
      <c r="A37" s="172" t="s">
        <v>27</v>
      </c>
      <c r="B37" s="229" t="s">
        <v>59</v>
      </c>
      <c r="C37" s="229">
        <v>55380</v>
      </c>
      <c r="D37" s="230" t="s">
        <v>64</v>
      </c>
      <c r="E37" s="172" t="s">
        <v>30</v>
      </c>
      <c r="F37" s="172" t="s">
        <v>31</v>
      </c>
      <c r="G37" s="172">
        <v>176</v>
      </c>
      <c r="H37" s="184">
        <v>762576.75</v>
      </c>
      <c r="I37" s="231"/>
      <c r="J37" s="184"/>
      <c r="K37" s="232">
        <f t="shared" si="0"/>
        <v>762576.75</v>
      </c>
      <c r="L37" s="184">
        <v>640235.04399999999</v>
      </c>
      <c r="M37" s="172" t="s">
        <v>86</v>
      </c>
      <c r="N37" s="172" t="s">
        <v>22</v>
      </c>
      <c r="O37" s="172" t="s">
        <v>23</v>
      </c>
    </row>
    <row r="38" spans="1:15" x14ac:dyDescent="0.25">
      <c r="A38" s="172" t="s">
        <v>27</v>
      </c>
      <c r="B38" s="229" t="s">
        <v>59</v>
      </c>
      <c r="C38" s="229">
        <v>55380</v>
      </c>
      <c r="D38" s="230" t="s">
        <v>65</v>
      </c>
      <c r="E38" s="172" t="s">
        <v>30</v>
      </c>
      <c r="F38" s="172" t="s">
        <v>31</v>
      </c>
      <c r="G38" s="172">
        <v>176</v>
      </c>
      <c r="H38" s="184">
        <v>762576.75</v>
      </c>
      <c r="I38" s="231"/>
      <c r="J38" s="184"/>
      <c r="K38" s="232">
        <f t="shared" si="0"/>
        <v>762576.75</v>
      </c>
      <c r="L38" s="184">
        <v>627004.70400000003</v>
      </c>
      <c r="M38" s="172" t="s">
        <v>86</v>
      </c>
      <c r="N38" s="172" t="s">
        <v>22</v>
      </c>
      <c r="O38" s="172" t="s">
        <v>23</v>
      </c>
    </row>
    <row r="39" spans="1:15" x14ac:dyDescent="0.25">
      <c r="A39" s="172" t="s">
        <v>27</v>
      </c>
      <c r="B39" s="229" t="s">
        <v>59</v>
      </c>
      <c r="C39" s="229">
        <v>55380</v>
      </c>
      <c r="D39" s="230" t="s">
        <v>66</v>
      </c>
      <c r="E39" s="172" t="s">
        <v>30</v>
      </c>
      <c r="F39" s="172" t="s">
        <v>34</v>
      </c>
      <c r="G39" s="172">
        <v>255</v>
      </c>
      <c r="H39" s="184">
        <v>866329</v>
      </c>
      <c r="I39" s="231"/>
      <c r="J39" s="184"/>
      <c r="K39" s="232">
        <f t="shared" si="0"/>
        <v>866329</v>
      </c>
      <c r="L39" s="184">
        <v>36409.281428394301</v>
      </c>
      <c r="M39" s="172" t="s">
        <v>86</v>
      </c>
      <c r="N39" s="172" t="s">
        <v>22</v>
      </c>
      <c r="O39" s="172" t="s">
        <v>23</v>
      </c>
    </row>
    <row r="40" spans="1:15" x14ac:dyDescent="0.25">
      <c r="A40" s="172" t="s">
        <v>27</v>
      </c>
      <c r="B40" s="229" t="s">
        <v>59</v>
      </c>
      <c r="C40" s="229">
        <v>55380</v>
      </c>
      <c r="D40" s="230" t="s">
        <v>67</v>
      </c>
      <c r="E40" s="172" t="s">
        <v>30</v>
      </c>
      <c r="F40" s="172" t="s">
        <v>34</v>
      </c>
      <c r="G40" s="172">
        <v>255</v>
      </c>
      <c r="H40" s="184">
        <v>800869</v>
      </c>
      <c r="I40" s="231"/>
      <c r="J40" s="184"/>
      <c r="K40" s="232">
        <f t="shared" si="0"/>
        <v>800869</v>
      </c>
      <c r="L40" s="184">
        <v>34125.478630233898</v>
      </c>
      <c r="M40" s="172" t="s">
        <v>86</v>
      </c>
      <c r="N40" s="172" t="s">
        <v>22</v>
      </c>
      <c r="O40" s="172" t="s">
        <v>23</v>
      </c>
    </row>
    <row r="41" spans="1:15" x14ac:dyDescent="0.25">
      <c r="A41" s="172" t="s">
        <v>27</v>
      </c>
      <c r="B41" s="229" t="s">
        <v>59</v>
      </c>
      <c r="C41" s="229">
        <v>55380</v>
      </c>
      <c r="D41" s="230" t="s">
        <v>68</v>
      </c>
      <c r="E41" s="172" t="s">
        <v>30</v>
      </c>
      <c r="F41" s="172" t="s">
        <v>34</v>
      </c>
      <c r="G41" s="172">
        <v>255</v>
      </c>
      <c r="H41" s="184">
        <v>1011707</v>
      </c>
      <c r="I41" s="231"/>
      <c r="J41" s="184"/>
      <c r="K41" s="232">
        <f t="shared" si="0"/>
        <v>1011707</v>
      </c>
      <c r="L41" s="184">
        <v>45214.067382208399</v>
      </c>
      <c r="M41" s="172" t="s">
        <v>86</v>
      </c>
      <c r="N41" s="172" t="s">
        <v>22</v>
      </c>
      <c r="O41" s="172" t="s">
        <v>23</v>
      </c>
    </row>
    <row r="42" spans="1:15" x14ac:dyDescent="0.25">
      <c r="A42" s="172" t="s">
        <v>27</v>
      </c>
      <c r="B42" s="229" t="s">
        <v>59</v>
      </c>
      <c r="C42" s="229">
        <v>55380</v>
      </c>
      <c r="D42" s="230" t="s">
        <v>69</v>
      </c>
      <c r="E42" s="172" t="s">
        <v>30</v>
      </c>
      <c r="F42" s="172" t="s">
        <v>34</v>
      </c>
      <c r="G42" s="172">
        <v>255</v>
      </c>
      <c r="H42" s="184">
        <v>1131773</v>
      </c>
      <c r="I42" s="231"/>
      <c r="J42" s="184"/>
      <c r="K42" s="232">
        <f t="shared" si="0"/>
        <v>1131773</v>
      </c>
      <c r="L42" s="184">
        <v>45031.403575850898</v>
      </c>
      <c r="M42" s="172" t="s">
        <v>86</v>
      </c>
      <c r="N42" s="172" t="s">
        <v>22</v>
      </c>
      <c r="O42" s="172" t="s">
        <v>23</v>
      </c>
    </row>
    <row r="43" spans="1:15" x14ac:dyDescent="0.25">
      <c r="A43" s="172" t="s">
        <v>70</v>
      </c>
      <c r="B43" s="229" t="s">
        <v>71</v>
      </c>
      <c r="C43" s="229">
        <v>202</v>
      </c>
      <c r="D43" s="230" t="s">
        <v>18</v>
      </c>
      <c r="E43" s="172" t="s">
        <v>30</v>
      </c>
      <c r="F43" s="172" t="s">
        <v>20</v>
      </c>
      <c r="G43" s="172">
        <v>120</v>
      </c>
      <c r="H43" s="184">
        <v>46502</v>
      </c>
      <c r="I43" s="231"/>
      <c r="J43" s="184"/>
      <c r="K43" s="232">
        <f t="shared" si="0"/>
        <v>46502</v>
      </c>
      <c r="L43" s="184">
        <v>35551.230000000003</v>
      </c>
      <c r="M43" s="172" t="s">
        <v>21</v>
      </c>
      <c r="N43" s="172" t="s">
        <v>22</v>
      </c>
      <c r="O43" s="172" t="s">
        <v>23</v>
      </c>
    </row>
    <row r="44" spans="1:15" x14ac:dyDescent="0.25">
      <c r="A44" s="172" t="s">
        <v>70</v>
      </c>
      <c r="B44" s="229" t="s">
        <v>72</v>
      </c>
      <c r="C44" s="229">
        <v>167</v>
      </c>
      <c r="D44" s="230" t="s">
        <v>25</v>
      </c>
      <c r="E44" s="172" t="s">
        <v>30</v>
      </c>
      <c r="F44" s="172" t="s">
        <v>20</v>
      </c>
      <c r="G44" s="172">
        <v>69</v>
      </c>
      <c r="H44" s="184">
        <v>0</v>
      </c>
      <c r="I44" s="231"/>
      <c r="J44" s="184"/>
      <c r="K44" s="232">
        <f t="shared" si="0"/>
        <v>0</v>
      </c>
      <c r="L44" s="184">
        <v>0</v>
      </c>
      <c r="M44" s="172" t="s">
        <v>21</v>
      </c>
      <c r="N44" s="172" t="s">
        <v>22</v>
      </c>
      <c r="O44" s="172" t="s">
        <v>73</v>
      </c>
    </row>
    <row r="45" spans="1:15" x14ac:dyDescent="0.25">
      <c r="A45" s="172" t="s">
        <v>70</v>
      </c>
      <c r="B45" s="229" t="s">
        <v>72</v>
      </c>
      <c r="C45" s="229">
        <v>167</v>
      </c>
      <c r="D45" s="230" t="s">
        <v>74</v>
      </c>
      <c r="E45" s="172" t="s">
        <v>30</v>
      </c>
      <c r="F45" s="172" t="s">
        <v>20</v>
      </c>
      <c r="G45" s="172">
        <v>156.19999999999999</v>
      </c>
      <c r="H45" s="184">
        <v>2581</v>
      </c>
      <c r="I45" s="231"/>
      <c r="J45" s="184"/>
      <c r="K45" s="232">
        <f t="shared" si="0"/>
        <v>2581</v>
      </c>
      <c r="L45" s="184">
        <v>3234.7570000000001</v>
      </c>
      <c r="M45" s="172" t="s">
        <v>21</v>
      </c>
      <c r="N45" s="172" t="s">
        <v>22</v>
      </c>
      <c r="O45" s="172" t="s">
        <v>76</v>
      </c>
    </row>
    <row r="46" spans="1:15" x14ac:dyDescent="0.25">
      <c r="A46" s="172" t="s">
        <v>70</v>
      </c>
      <c r="B46" s="229" t="s">
        <v>75</v>
      </c>
      <c r="C46" s="229">
        <v>168</v>
      </c>
      <c r="D46" s="230" t="s">
        <v>18</v>
      </c>
      <c r="E46" s="172" t="s">
        <v>30</v>
      </c>
      <c r="F46" s="172" t="s">
        <v>20</v>
      </c>
      <c r="G46" s="172">
        <v>69</v>
      </c>
      <c r="H46" s="184" t="s">
        <v>90</v>
      </c>
      <c r="I46" s="231"/>
      <c r="J46" s="184"/>
      <c r="K46" s="232" t="s">
        <v>90</v>
      </c>
      <c r="L46" s="184" t="s">
        <v>90</v>
      </c>
      <c r="M46" s="172" t="s">
        <v>21</v>
      </c>
      <c r="N46" s="172" t="s">
        <v>22</v>
      </c>
      <c r="O46" s="172" t="s">
        <v>73</v>
      </c>
    </row>
    <row r="47" spans="1:15" x14ac:dyDescent="0.25">
      <c r="A47" s="172" t="s">
        <v>70</v>
      </c>
      <c r="B47" s="229" t="s">
        <v>75</v>
      </c>
      <c r="C47" s="229">
        <v>168</v>
      </c>
      <c r="D47" s="230" t="s">
        <v>25</v>
      </c>
      <c r="E47" s="172" t="s">
        <v>30</v>
      </c>
      <c r="F47" s="172" t="s">
        <v>20</v>
      </c>
      <c r="G47" s="172">
        <v>69</v>
      </c>
      <c r="H47" s="184" t="s">
        <v>90</v>
      </c>
      <c r="I47" s="231"/>
      <c r="J47" s="184"/>
      <c r="K47" s="232" t="s">
        <v>90</v>
      </c>
      <c r="L47" s="184" t="s">
        <v>90</v>
      </c>
      <c r="M47" s="172" t="s">
        <v>21</v>
      </c>
      <c r="N47" s="172" t="s">
        <v>22</v>
      </c>
      <c r="O47" s="172" t="s">
        <v>73</v>
      </c>
    </row>
    <row r="48" spans="1:15" x14ac:dyDescent="0.25">
      <c r="A48" s="172" t="s">
        <v>70</v>
      </c>
      <c r="B48" s="229" t="s">
        <v>77</v>
      </c>
      <c r="C48" s="229">
        <v>169</v>
      </c>
      <c r="D48" s="230" t="s">
        <v>25</v>
      </c>
      <c r="E48" s="172" t="s">
        <v>30</v>
      </c>
      <c r="F48" s="172" t="s">
        <v>20</v>
      </c>
      <c r="G48" s="172">
        <v>156.19999999999999</v>
      </c>
      <c r="H48" s="184">
        <v>-626</v>
      </c>
      <c r="I48" s="231"/>
      <c r="J48" s="184"/>
      <c r="K48" s="232">
        <f t="shared" ref="K48:K55" si="1">H48+J48*0.75/3.412</f>
        <v>-626</v>
      </c>
      <c r="L48" s="184">
        <v>0</v>
      </c>
      <c r="M48" s="172" t="s">
        <v>21</v>
      </c>
      <c r="N48" s="172" t="s">
        <v>22</v>
      </c>
      <c r="O48" s="172" t="s">
        <v>76</v>
      </c>
    </row>
    <row r="49" spans="1:15" x14ac:dyDescent="0.25">
      <c r="A49" s="172" t="s">
        <v>70</v>
      </c>
      <c r="B49" s="229" t="s">
        <v>78</v>
      </c>
      <c r="C49" s="229">
        <v>170</v>
      </c>
      <c r="D49" s="230" t="s">
        <v>18</v>
      </c>
      <c r="E49" s="172" t="s">
        <v>30</v>
      </c>
      <c r="F49" s="172" t="s">
        <v>20</v>
      </c>
      <c r="G49" s="172">
        <v>40</v>
      </c>
      <c r="H49" s="184">
        <v>35</v>
      </c>
      <c r="I49" s="231"/>
      <c r="J49" s="184"/>
      <c r="K49" s="232">
        <f t="shared" si="1"/>
        <v>35</v>
      </c>
      <c r="L49" s="184">
        <v>62.229243494527999</v>
      </c>
      <c r="M49" s="172" t="s">
        <v>21</v>
      </c>
      <c r="N49" s="172" t="s">
        <v>22</v>
      </c>
      <c r="O49" s="172" t="s">
        <v>76</v>
      </c>
    </row>
    <row r="50" spans="1:15" x14ac:dyDescent="0.25">
      <c r="A50" s="172" t="s">
        <v>70</v>
      </c>
      <c r="B50" s="229" t="s">
        <v>78</v>
      </c>
      <c r="C50" s="229">
        <v>170</v>
      </c>
      <c r="D50" s="230" t="s">
        <v>25</v>
      </c>
      <c r="E50" s="172" t="s">
        <v>30</v>
      </c>
      <c r="F50" s="172" t="s">
        <v>20</v>
      </c>
      <c r="G50" s="172">
        <v>40</v>
      </c>
      <c r="H50" s="184">
        <v>2</v>
      </c>
      <c r="I50" s="231"/>
      <c r="J50" s="184"/>
      <c r="K50" s="232">
        <f t="shared" si="1"/>
        <v>2</v>
      </c>
      <c r="L50" s="184">
        <v>170.054</v>
      </c>
      <c r="M50" s="172" t="s">
        <v>21</v>
      </c>
      <c r="N50" s="172" t="s">
        <v>22</v>
      </c>
      <c r="O50" s="172" t="s">
        <v>76</v>
      </c>
    </row>
    <row r="51" spans="1:15" x14ac:dyDescent="0.25">
      <c r="A51" s="172" t="s">
        <v>70</v>
      </c>
      <c r="B51" s="229" t="s">
        <v>78</v>
      </c>
      <c r="C51" s="229">
        <v>170</v>
      </c>
      <c r="D51" s="230" t="s">
        <v>74</v>
      </c>
      <c r="E51" s="172" t="s">
        <v>30</v>
      </c>
      <c r="F51" s="172" t="s">
        <v>20</v>
      </c>
      <c r="G51" s="172">
        <v>119.5</v>
      </c>
      <c r="H51" s="184">
        <v>887</v>
      </c>
      <c r="I51" s="231"/>
      <c r="J51" s="184"/>
      <c r="K51" s="232">
        <f t="shared" si="1"/>
        <v>887</v>
      </c>
      <c r="L51" s="184">
        <v>2253.15</v>
      </c>
      <c r="M51" s="172" t="s">
        <v>21</v>
      </c>
      <c r="N51" s="172" t="s">
        <v>22</v>
      </c>
      <c r="O51" s="172" t="s">
        <v>76</v>
      </c>
    </row>
    <row r="52" spans="1:15" x14ac:dyDescent="0.25">
      <c r="A52" s="172" t="s">
        <v>70</v>
      </c>
      <c r="B52" s="229" t="s">
        <v>78</v>
      </c>
      <c r="C52" s="229">
        <v>170</v>
      </c>
      <c r="D52" s="230" t="s">
        <v>79</v>
      </c>
      <c r="E52" s="172" t="s">
        <v>30</v>
      </c>
      <c r="F52" s="172" t="s">
        <v>20</v>
      </c>
      <c r="G52" s="172">
        <v>552.5</v>
      </c>
      <c r="H52" s="184">
        <v>612047</v>
      </c>
      <c r="I52" s="231"/>
      <c r="J52" s="184"/>
      <c r="K52" s="232">
        <f t="shared" si="1"/>
        <v>612047</v>
      </c>
      <c r="L52" s="184">
        <v>436566.84299999999</v>
      </c>
      <c r="M52" s="172" t="s">
        <v>21</v>
      </c>
      <c r="N52" s="172" t="s">
        <v>22</v>
      </c>
      <c r="O52" s="172" t="s">
        <v>89</v>
      </c>
    </row>
    <row r="53" spans="1:15" x14ac:dyDescent="0.25">
      <c r="A53" s="172" t="s">
        <v>70</v>
      </c>
      <c r="B53" s="229" t="s">
        <v>80</v>
      </c>
      <c r="C53" s="229">
        <v>203</v>
      </c>
      <c r="D53" s="230" t="s">
        <v>18</v>
      </c>
      <c r="E53" s="172" t="s">
        <v>30</v>
      </c>
      <c r="F53" s="172" t="s">
        <v>20</v>
      </c>
      <c r="G53" s="172">
        <v>136</v>
      </c>
      <c r="H53" s="184">
        <v>199295</v>
      </c>
      <c r="I53" s="231"/>
      <c r="J53" s="184"/>
      <c r="K53" s="232">
        <f t="shared" si="1"/>
        <v>199295</v>
      </c>
      <c r="L53" s="184">
        <v>144437.26800000001</v>
      </c>
      <c r="M53" s="172" t="s">
        <v>21</v>
      </c>
      <c r="N53" s="172" t="s">
        <v>22</v>
      </c>
      <c r="O53" s="172" t="s">
        <v>23</v>
      </c>
    </row>
    <row r="54" spans="1:15" x14ac:dyDescent="0.25">
      <c r="A54" s="172" t="s">
        <v>70</v>
      </c>
      <c r="B54" s="229" t="s">
        <v>81</v>
      </c>
      <c r="C54" s="229">
        <v>173</v>
      </c>
      <c r="D54" s="230" t="s">
        <v>18</v>
      </c>
      <c r="E54" s="172" t="s">
        <v>30</v>
      </c>
      <c r="F54" s="172" t="s">
        <v>20</v>
      </c>
      <c r="G54" s="172">
        <v>359</v>
      </c>
      <c r="H54" s="184">
        <v>-158</v>
      </c>
      <c r="I54" s="231"/>
      <c r="J54" s="184"/>
      <c r="K54" s="232">
        <f t="shared" si="1"/>
        <v>-158</v>
      </c>
      <c r="L54" s="184">
        <v>0</v>
      </c>
      <c r="M54" s="172" t="s">
        <v>21</v>
      </c>
      <c r="N54" s="172" t="s">
        <v>22</v>
      </c>
      <c r="O54" s="172" t="s">
        <v>73</v>
      </c>
    </row>
    <row r="55" spans="1:15" x14ac:dyDescent="0.25">
      <c r="A55" s="172" t="s">
        <v>70</v>
      </c>
      <c r="B55" s="229" t="s">
        <v>81</v>
      </c>
      <c r="C55" s="229">
        <v>173</v>
      </c>
      <c r="D55" s="230" t="s">
        <v>25</v>
      </c>
      <c r="E55" s="172" t="s">
        <v>30</v>
      </c>
      <c r="F55" s="172" t="s">
        <v>20</v>
      </c>
      <c r="G55" s="172">
        <v>544.6</v>
      </c>
      <c r="H55" s="184">
        <v>0</v>
      </c>
      <c r="I55" s="231"/>
      <c r="J55" s="184"/>
      <c r="K55" s="232">
        <f t="shared" si="1"/>
        <v>0</v>
      </c>
      <c r="L55" s="184">
        <v>0</v>
      </c>
      <c r="M55" s="172" t="s">
        <v>21</v>
      </c>
      <c r="N55" s="172" t="s">
        <v>22</v>
      </c>
      <c r="O55" s="172" t="s">
        <v>76</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workbookViewId="0">
      <selection activeCell="H16" sqref="H16"/>
    </sheetView>
  </sheetViews>
  <sheetFormatPr defaultRowHeight="15" x14ac:dyDescent="0.25"/>
  <cols>
    <col min="1" max="1" width="9.140625" style="172"/>
    <col min="2" max="2" width="26.85546875" style="172" bestFit="1" customWidth="1"/>
    <col min="3" max="3" width="9.42578125" style="172" bestFit="1" customWidth="1"/>
    <col min="4" max="6" width="9.140625" style="172"/>
    <col min="7" max="9" width="9.28515625" style="172" bestFit="1" customWidth="1"/>
    <col min="10" max="11" width="12.42578125" style="172" bestFit="1" customWidth="1"/>
    <col min="12" max="12" width="9.28515625" style="172" bestFit="1" customWidth="1"/>
    <col min="13" max="13" width="26" style="172" bestFit="1" customWidth="1"/>
    <col min="14" max="16384" width="9.140625" style="172"/>
  </cols>
  <sheetData>
    <row r="1" spans="1:15" ht="105" x14ac:dyDescent="0.25">
      <c r="A1" s="173" t="s">
        <v>0</v>
      </c>
      <c r="B1" s="213" t="s">
        <v>2</v>
      </c>
      <c r="C1" s="214" t="s">
        <v>3</v>
      </c>
      <c r="D1" s="215" t="s">
        <v>4</v>
      </c>
      <c r="E1" s="176" t="s">
        <v>5</v>
      </c>
      <c r="F1" s="176" t="s">
        <v>6</v>
      </c>
      <c r="G1" s="174" t="s">
        <v>7</v>
      </c>
      <c r="H1" s="177" t="s">
        <v>8</v>
      </c>
      <c r="I1" s="217" t="s">
        <v>9</v>
      </c>
      <c r="J1" s="177" t="s">
        <v>228</v>
      </c>
      <c r="K1" s="177" t="s">
        <v>229</v>
      </c>
      <c r="L1" s="177" t="s">
        <v>10</v>
      </c>
      <c r="M1" s="176" t="s">
        <v>12</v>
      </c>
      <c r="N1" s="176" t="s">
        <v>13</v>
      </c>
      <c r="O1" s="176" t="s">
        <v>14</v>
      </c>
    </row>
    <row r="2" spans="1:15" x14ac:dyDescent="0.25">
      <c r="A2" s="233" t="s">
        <v>15</v>
      </c>
      <c r="B2" s="234" t="s">
        <v>17</v>
      </c>
      <c r="C2" s="234">
        <v>6138</v>
      </c>
      <c r="D2" s="230" t="s">
        <v>18</v>
      </c>
      <c r="E2" s="233" t="s">
        <v>19</v>
      </c>
      <c r="F2" s="233" t="s">
        <v>20</v>
      </c>
      <c r="G2" s="235">
        <v>558</v>
      </c>
      <c r="H2" s="236">
        <v>3066049</v>
      </c>
      <c r="I2" s="237"/>
      <c r="J2" s="238"/>
      <c r="K2" s="236">
        <f t="shared" ref="K2:K8" si="0">H2+J2*0.75/3.412</f>
        <v>3066049</v>
      </c>
      <c r="L2" s="239">
        <v>3329489.4789999998</v>
      </c>
      <c r="M2" s="233" t="s">
        <v>21</v>
      </c>
      <c r="N2" s="233" t="s">
        <v>22</v>
      </c>
      <c r="O2" s="233" t="s">
        <v>23</v>
      </c>
    </row>
    <row r="3" spans="1:15" x14ac:dyDescent="0.25">
      <c r="A3" s="233" t="s">
        <v>15</v>
      </c>
      <c r="B3" s="234" t="s">
        <v>24</v>
      </c>
      <c r="C3" s="234">
        <v>6641</v>
      </c>
      <c r="D3" s="230" t="s">
        <v>18</v>
      </c>
      <c r="E3" s="233" t="s">
        <v>19</v>
      </c>
      <c r="F3" s="233" t="s">
        <v>20</v>
      </c>
      <c r="G3" s="235">
        <v>900</v>
      </c>
      <c r="H3" s="236">
        <v>4643168</v>
      </c>
      <c r="I3" s="237"/>
      <c r="J3" s="238"/>
      <c r="K3" s="236">
        <f t="shared" si="0"/>
        <v>4643168</v>
      </c>
      <c r="L3" s="239">
        <v>4795695.449</v>
      </c>
      <c r="M3" s="233" t="s">
        <v>21</v>
      </c>
      <c r="N3" s="233" t="s">
        <v>22</v>
      </c>
      <c r="O3" s="233" t="s">
        <v>23</v>
      </c>
    </row>
    <row r="4" spans="1:15" x14ac:dyDescent="0.25">
      <c r="A4" s="233" t="s">
        <v>15</v>
      </c>
      <c r="B4" s="234" t="s">
        <v>24</v>
      </c>
      <c r="C4" s="234">
        <v>6641</v>
      </c>
      <c r="D4" s="230" t="s">
        <v>25</v>
      </c>
      <c r="E4" s="233" t="s">
        <v>19</v>
      </c>
      <c r="F4" s="233" t="s">
        <v>20</v>
      </c>
      <c r="G4" s="235">
        <v>900</v>
      </c>
      <c r="H4" s="236">
        <v>5746997</v>
      </c>
      <c r="I4" s="237"/>
      <c r="J4" s="238"/>
      <c r="K4" s="236">
        <f t="shared" si="0"/>
        <v>5746997</v>
      </c>
      <c r="L4" s="239">
        <v>6160583.6469999999</v>
      </c>
      <c r="M4" s="233" t="s">
        <v>21</v>
      </c>
      <c r="N4" s="233" t="s">
        <v>22</v>
      </c>
      <c r="O4" s="233" t="s">
        <v>23</v>
      </c>
    </row>
    <row r="5" spans="1:15" x14ac:dyDescent="0.25">
      <c r="A5" s="233" t="s">
        <v>15</v>
      </c>
      <c r="B5" s="234" t="s">
        <v>91</v>
      </c>
      <c r="C5" s="234">
        <v>56564</v>
      </c>
      <c r="D5" s="230" t="s">
        <v>18</v>
      </c>
      <c r="E5" s="233" t="s">
        <v>19</v>
      </c>
      <c r="F5" s="233" t="s">
        <v>20</v>
      </c>
      <c r="G5" s="235">
        <v>609</v>
      </c>
      <c r="H5" s="236">
        <v>3846140</v>
      </c>
      <c r="I5" s="237"/>
      <c r="J5" s="238"/>
      <c r="K5" s="236">
        <f t="shared" si="0"/>
        <v>3846140</v>
      </c>
      <c r="L5" s="239">
        <v>3687004.2969999998</v>
      </c>
      <c r="M5" s="233" t="s">
        <v>21</v>
      </c>
      <c r="N5" s="233" t="s">
        <v>22</v>
      </c>
      <c r="O5" s="233" t="s">
        <v>23</v>
      </c>
    </row>
    <row r="6" spans="1:15" x14ac:dyDescent="0.25">
      <c r="A6" s="233" t="s">
        <v>15</v>
      </c>
      <c r="B6" s="234" t="s">
        <v>82</v>
      </c>
      <c r="C6" s="234">
        <v>56456</v>
      </c>
      <c r="D6" s="230" t="s">
        <v>66</v>
      </c>
      <c r="E6" s="233" t="s">
        <v>19</v>
      </c>
      <c r="F6" s="233" t="s">
        <v>20</v>
      </c>
      <c r="G6" s="235">
        <v>720</v>
      </c>
      <c r="H6" s="236">
        <v>3995847</v>
      </c>
      <c r="I6" s="237"/>
      <c r="J6" s="238"/>
      <c r="K6" s="236">
        <f t="shared" si="0"/>
        <v>3995847</v>
      </c>
      <c r="L6" s="239">
        <v>4326892.2810000004</v>
      </c>
      <c r="M6" s="233" t="s">
        <v>86</v>
      </c>
      <c r="N6" s="233" t="s">
        <v>22</v>
      </c>
      <c r="O6" s="233" t="s">
        <v>23</v>
      </c>
    </row>
    <row r="7" spans="1:15" x14ac:dyDescent="0.25">
      <c r="A7" s="233" t="s">
        <v>15</v>
      </c>
      <c r="B7" s="234" t="s">
        <v>26</v>
      </c>
      <c r="C7" s="234">
        <v>6009</v>
      </c>
      <c r="D7" s="230" t="s">
        <v>18</v>
      </c>
      <c r="E7" s="233" t="s">
        <v>19</v>
      </c>
      <c r="F7" s="233" t="s">
        <v>20</v>
      </c>
      <c r="G7" s="235">
        <v>900</v>
      </c>
      <c r="H7" s="236">
        <v>5358558</v>
      </c>
      <c r="I7" s="237"/>
      <c r="J7" s="238"/>
      <c r="K7" s="236">
        <f t="shared" si="0"/>
        <v>5358558</v>
      </c>
      <c r="L7" s="239">
        <v>6308387.7220000001</v>
      </c>
      <c r="M7" s="233" t="s">
        <v>21</v>
      </c>
      <c r="N7" s="233" t="s">
        <v>22</v>
      </c>
      <c r="O7" s="233" t="s">
        <v>23</v>
      </c>
    </row>
    <row r="8" spans="1:15" x14ac:dyDescent="0.25">
      <c r="A8" s="233" t="s">
        <v>15</v>
      </c>
      <c r="B8" s="234" t="s">
        <v>26</v>
      </c>
      <c r="C8" s="234">
        <v>6009</v>
      </c>
      <c r="D8" s="230" t="s">
        <v>25</v>
      </c>
      <c r="E8" s="233" t="s">
        <v>19</v>
      </c>
      <c r="F8" s="233" t="s">
        <v>20</v>
      </c>
      <c r="G8" s="235">
        <v>900</v>
      </c>
      <c r="H8" s="236">
        <v>5203107</v>
      </c>
      <c r="I8" s="237"/>
      <c r="J8" s="238"/>
      <c r="K8" s="236">
        <f t="shared" si="0"/>
        <v>5203107</v>
      </c>
      <c r="L8" s="239">
        <v>6218309.7719999999</v>
      </c>
      <c r="M8" s="233" t="s">
        <v>21</v>
      </c>
      <c r="N8" s="233" t="s">
        <v>22</v>
      </c>
      <c r="O8" s="233" t="s">
        <v>23</v>
      </c>
    </row>
    <row r="9" spans="1:15" x14ac:dyDescent="0.25">
      <c r="A9" s="233" t="s">
        <v>27</v>
      </c>
      <c r="B9" s="234" t="s">
        <v>28</v>
      </c>
      <c r="C9" s="234">
        <v>55340</v>
      </c>
      <c r="D9" s="230" t="s">
        <v>29</v>
      </c>
      <c r="E9" s="233" t="s">
        <v>30</v>
      </c>
      <c r="F9" s="233" t="s">
        <v>31</v>
      </c>
      <c r="G9" s="235">
        <v>199.3</v>
      </c>
      <c r="H9" s="239">
        <v>56407.387133117358</v>
      </c>
      <c r="I9" s="237"/>
      <c r="J9" s="238"/>
      <c r="K9" s="236">
        <f t="shared" ref="K9:K26" si="1">H9</f>
        <v>56407.387133117358</v>
      </c>
      <c r="L9" s="239">
        <v>26948.502254601681</v>
      </c>
      <c r="M9" s="233" t="s">
        <v>21</v>
      </c>
      <c r="N9" s="233" t="s">
        <v>22</v>
      </c>
      <c r="O9" s="233" t="s">
        <v>23</v>
      </c>
    </row>
    <row r="10" spans="1:15" x14ac:dyDescent="0.25">
      <c r="A10" s="233" t="s">
        <v>27</v>
      </c>
      <c r="B10" s="234" t="s">
        <v>28</v>
      </c>
      <c r="C10" s="234">
        <v>55340</v>
      </c>
      <c r="D10" s="230" t="s">
        <v>32</v>
      </c>
      <c r="E10" s="233" t="s">
        <v>30</v>
      </c>
      <c r="F10" s="233" t="s">
        <v>31</v>
      </c>
      <c r="G10" s="235">
        <v>199.3</v>
      </c>
      <c r="H10" s="239">
        <v>56407.387133117358</v>
      </c>
      <c r="I10" s="237"/>
      <c r="J10" s="238"/>
      <c r="K10" s="236">
        <f t="shared" si="1"/>
        <v>56407.387133117358</v>
      </c>
      <c r="L10" s="239">
        <v>26948.502254601681</v>
      </c>
      <c r="M10" s="233" t="s">
        <v>21</v>
      </c>
      <c r="N10" s="233" t="s">
        <v>22</v>
      </c>
      <c r="O10" s="233" t="s">
        <v>23</v>
      </c>
    </row>
    <row r="11" spans="1:15" x14ac:dyDescent="0.25">
      <c r="A11" s="233" t="s">
        <v>27</v>
      </c>
      <c r="B11" s="234" t="s">
        <v>28</v>
      </c>
      <c r="C11" s="234">
        <v>55340</v>
      </c>
      <c r="D11" s="230" t="s">
        <v>33</v>
      </c>
      <c r="E11" s="233" t="s">
        <v>30</v>
      </c>
      <c r="F11" s="233" t="s">
        <v>34</v>
      </c>
      <c r="G11" s="235">
        <v>280.5</v>
      </c>
      <c r="H11" s="236">
        <v>79389.222733765273</v>
      </c>
      <c r="I11" s="237"/>
      <c r="J11" s="238"/>
      <c r="K11" s="236">
        <f t="shared" si="1"/>
        <v>79389.222733765273</v>
      </c>
      <c r="L11" s="239">
        <v>37928.02249079664</v>
      </c>
      <c r="M11" s="233" t="s">
        <v>21</v>
      </c>
      <c r="N11" s="233" t="s">
        <v>22</v>
      </c>
      <c r="O11" s="233" t="s">
        <v>23</v>
      </c>
    </row>
    <row r="12" spans="1:15" x14ac:dyDescent="0.25">
      <c r="A12" s="233" t="s">
        <v>27</v>
      </c>
      <c r="B12" s="234" t="s">
        <v>35</v>
      </c>
      <c r="C12" s="234">
        <v>55221</v>
      </c>
      <c r="D12" s="230" t="s">
        <v>36</v>
      </c>
      <c r="E12" s="233" t="s">
        <v>30</v>
      </c>
      <c r="F12" s="233" t="s">
        <v>31</v>
      </c>
      <c r="G12" s="235">
        <v>51</v>
      </c>
      <c r="H12" s="239">
        <v>27030</v>
      </c>
      <c r="I12" s="237"/>
      <c r="J12" s="238"/>
      <c r="K12" s="236">
        <f t="shared" si="1"/>
        <v>27030</v>
      </c>
      <c r="L12" s="239">
        <v>13686.535501251043</v>
      </c>
      <c r="M12" s="233" t="s">
        <v>21</v>
      </c>
      <c r="N12" s="233" t="s">
        <v>22</v>
      </c>
      <c r="O12" s="233" t="s">
        <v>23</v>
      </c>
    </row>
    <row r="13" spans="1:15" x14ac:dyDescent="0.25">
      <c r="A13" s="233" t="s">
        <v>27</v>
      </c>
      <c r="B13" s="234" t="s">
        <v>35</v>
      </c>
      <c r="C13" s="234">
        <v>55221</v>
      </c>
      <c r="D13" s="230" t="s">
        <v>37</v>
      </c>
      <c r="E13" s="233" t="s">
        <v>30</v>
      </c>
      <c r="F13" s="233" t="s">
        <v>31</v>
      </c>
      <c r="G13" s="235">
        <v>51</v>
      </c>
      <c r="H13" s="239">
        <v>27030</v>
      </c>
      <c r="I13" s="237"/>
      <c r="J13" s="238"/>
      <c r="K13" s="236">
        <f t="shared" si="1"/>
        <v>27030</v>
      </c>
      <c r="L13" s="239">
        <v>13686.535501251043</v>
      </c>
      <c r="M13" s="233" t="s">
        <v>21</v>
      </c>
      <c r="N13" s="233" t="s">
        <v>22</v>
      </c>
      <c r="O13" s="233" t="s">
        <v>23</v>
      </c>
    </row>
    <row r="14" spans="1:15" x14ac:dyDescent="0.25">
      <c r="A14" s="233" t="s">
        <v>27</v>
      </c>
      <c r="B14" s="234" t="s">
        <v>35</v>
      </c>
      <c r="C14" s="234">
        <v>55221</v>
      </c>
      <c r="D14" s="230" t="s">
        <v>38</v>
      </c>
      <c r="E14" s="233" t="s">
        <v>30</v>
      </c>
      <c r="F14" s="233" t="s">
        <v>31</v>
      </c>
      <c r="G14" s="235">
        <v>51</v>
      </c>
      <c r="H14" s="239">
        <v>27030</v>
      </c>
      <c r="I14" s="237"/>
      <c r="J14" s="238"/>
      <c r="K14" s="236">
        <f t="shared" si="1"/>
        <v>27030</v>
      </c>
      <c r="L14" s="239">
        <v>13686.535501251043</v>
      </c>
      <c r="M14" s="233" t="s">
        <v>21</v>
      </c>
      <c r="N14" s="233" t="s">
        <v>22</v>
      </c>
      <c r="O14" s="233" t="s">
        <v>23</v>
      </c>
    </row>
    <row r="15" spans="1:15" x14ac:dyDescent="0.25">
      <c r="A15" s="233" t="s">
        <v>27</v>
      </c>
      <c r="B15" s="234" t="s">
        <v>35</v>
      </c>
      <c r="C15" s="234">
        <v>55221</v>
      </c>
      <c r="D15" s="230" t="s">
        <v>39</v>
      </c>
      <c r="E15" s="233" t="s">
        <v>30</v>
      </c>
      <c r="F15" s="233" t="s">
        <v>31</v>
      </c>
      <c r="G15" s="235">
        <v>51</v>
      </c>
      <c r="H15" s="239">
        <v>27030</v>
      </c>
      <c r="I15" s="237"/>
      <c r="J15" s="238"/>
      <c r="K15" s="236">
        <f t="shared" si="1"/>
        <v>27030</v>
      </c>
      <c r="L15" s="239">
        <v>13686.535501251043</v>
      </c>
      <c r="M15" s="233" t="s">
        <v>21</v>
      </c>
      <c r="N15" s="233" t="s">
        <v>22</v>
      </c>
      <c r="O15" s="233" t="s">
        <v>23</v>
      </c>
    </row>
    <row r="16" spans="1:15" x14ac:dyDescent="0.25">
      <c r="A16" s="233" t="s">
        <v>27</v>
      </c>
      <c r="B16" s="234" t="s">
        <v>35</v>
      </c>
      <c r="C16" s="234">
        <v>55221</v>
      </c>
      <c r="D16" s="230" t="s">
        <v>40</v>
      </c>
      <c r="E16" s="233" t="s">
        <v>30</v>
      </c>
      <c r="F16" s="233" t="s">
        <v>31</v>
      </c>
      <c r="G16" s="235">
        <v>51</v>
      </c>
      <c r="H16" s="239">
        <v>27030</v>
      </c>
      <c r="I16" s="237"/>
      <c r="J16" s="238"/>
      <c r="K16" s="236">
        <f t="shared" si="1"/>
        <v>27030</v>
      </c>
      <c r="L16" s="239">
        <v>13686.535501251043</v>
      </c>
      <c r="M16" s="233" t="s">
        <v>21</v>
      </c>
      <c r="N16" s="233" t="s">
        <v>22</v>
      </c>
      <c r="O16" s="233" t="s">
        <v>23</v>
      </c>
    </row>
    <row r="17" spans="1:15" x14ac:dyDescent="0.25">
      <c r="A17" s="233" t="s">
        <v>27</v>
      </c>
      <c r="B17" s="234" t="s">
        <v>35</v>
      </c>
      <c r="C17" s="234">
        <v>55221</v>
      </c>
      <c r="D17" s="230" t="s">
        <v>41</v>
      </c>
      <c r="E17" s="233" t="s">
        <v>30</v>
      </c>
      <c r="F17" s="233" t="s">
        <v>31</v>
      </c>
      <c r="G17" s="235">
        <v>51</v>
      </c>
      <c r="H17" s="239">
        <v>27030</v>
      </c>
      <c r="I17" s="237"/>
      <c r="J17" s="238"/>
      <c r="K17" s="236">
        <f t="shared" si="1"/>
        <v>27030</v>
      </c>
      <c r="L17" s="239">
        <v>13686.535501251043</v>
      </c>
      <c r="M17" s="233" t="s">
        <v>21</v>
      </c>
      <c r="N17" s="233" t="s">
        <v>22</v>
      </c>
      <c r="O17" s="233" t="s">
        <v>23</v>
      </c>
    </row>
    <row r="18" spans="1:15" x14ac:dyDescent="0.25">
      <c r="A18" s="233" t="s">
        <v>27</v>
      </c>
      <c r="B18" s="234" t="s">
        <v>35</v>
      </c>
      <c r="C18" s="234">
        <v>55221</v>
      </c>
      <c r="D18" s="230" t="s">
        <v>42</v>
      </c>
      <c r="E18" s="233" t="s">
        <v>30</v>
      </c>
      <c r="F18" s="233" t="s">
        <v>31</v>
      </c>
      <c r="G18" s="235">
        <v>83.5</v>
      </c>
      <c r="H18" s="239">
        <v>44255</v>
      </c>
      <c r="I18" s="237"/>
      <c r="J18" s="238"/>
      <c r="K18" s="236">
        <f t="shared" si="1"/>
        <v>44255</v>
      </c>
      <c r="L18" s="239">
        <v>22408.34734028357</v>
      </c>
      <c r="M18" s="233" t="s">
        <v>21</v>
      </c>
      <c r="N18" s="233" t="s">
        <v>22</v>
      </c>
      <c r="O18" s="233" t="s">
        <v>23</v>
      </c>
    </row>
    <row r="19" spans="1:15" x14ac:dyDescent="0.25">
      <c r="A19" s="233" t="s">
        <v>27</v>
      </c>
      <c r="B19" s="234" t="s">
        <v>35</v>
      </c>
      <c r="C19" s="234">
        <v>55221</v>
      </c>
      <c r="D19" s="230" t="s">
        <v>43</v>
      </c>
      <c r="E19" s="233" t="s">
        <v>30</v>
      </c>
      <c r="F19" s="233" t="s">
        <v>34</v>
      </c>
      <c r="G19" s="235">
        <v>105</v>
      </c>
      <c r="H19" s="236">
        <v>55650</v>
      </c>
      <c r="I19" s="237"/>
      <c r="J19" s="236"/>
      <c r="K19" s="236">
        <f t="shared" si="1"/>
        <v>55650</v>
      </c>
      <c r="L19" s="239">
        <v>28178.161326105088</v>
      </c>
      <c r="M19" s="233" t="s">
        <v>21</v>
      </c>
      <c r="N19" s="233" t="s">
        <v>22</v>
      </c>
      <c r="O19" s="233" t="s">
        <v>23</v>
      </c>
    </row>
    <row r="20" spans="1:15" x14ac:dyDescent="0.25">
      <c r="A20" s="233" t="s">
        <v>27</v>
      </c>
      <c r="B20" s="234" t="s">
        <v>35</v>
      </c>
      <c r="C20" s="234">
        <v>55221</v>
      </c>
      <c r="D20" s="230" t="s">
        <v>44</v>
      </c>
      <c r="E20" s="233" t="s">
        <v>30</v>
      </c>
      <c r="F20" s="233" t="s">
        <v>34</v>
      </c>
      <c r="G20" s="235">
        <v>105</v>
      </c>
      <c r="H20" s="239">
        <v>55650</v>
      </c>
      <c r="I20" s="237"/>
      <c r="J20" s="236"/>
      <c r="K20" s="236">
        <f t="shared" si="1"/>
        <v>55650</v>
      </c>
      <c r="L20" s="239">
        <v>28178.161326105088</v>
      </c>
      <c r="M20" s="233" t="s">
        <v>21</v>
      </c>
      <c r="N20" s="233" t="s">
        <v>22</v>
      </c>
      <c r="O20" s="233" t="s">
        <v>23</v>
      </c>
    </row>
    <row r="21" spans="1:15" x14ac:dyDescent="0.25">
      <c r="A21" s="233" t="s">
        <v>27</v>
      </c>
      <c r="B21" s="234" t="s">
        <v>92</v>
      </c>
      <c r="C21" s="234">
        <v>55418</v>
      </c>
      <c r="D21" s="230" t="s">
        <v>51</v>
      </c>
      <c r="E21" s="233" t="s">
        <v>30</v>
      </c>
      <c r="F21" s="233" t="s">
        <v>31</v>
      </c>
      <c r="G21" s="235">
        <v>198.9</v>
      </c>
      <c r="H21" s="239">
        <v>479449.72999440407</v>
      </c>
      <c r="I21" s="237"/>
      <c r="J21" s="236"/>
      <c r="K21" s="236">
        <f t="shared" si="1"/>
        <v>479449.72999440407</v>
      </c>
      <c r="L21" s="239">
        <v>208767.21557484608</v>
      </c>
      <c r="M21" s="233" t="s">
        <v>21</v>
      </c>
      <c r="N21" s="233" t="s">
        <v>22</v>
      </c>
      <c r="O21" s="233" t="s">
        <v>23</v>
      </c>
    </row>
    <row r="22" spans="1:15" x14ac:dyDescent="0.25">
      <c r="A22" s="233" t="s">
        <v>27</v>
      </c>
      <c r="B22" s="234" t="s">
        <v>92</v>
      </c>
      <c r="C22" s="234">
        <v>55418</v>
      </c>
      <c r="D22" s="230" t="s">
        <v>52</v>
      </c>
      <c r="E22" s="233" t="s">
        <v>30</v>
      </c>
      <c r="F22" s="233" t="s">
        <v>31</v>
      </c>
      <c r="G22" s="235">
        <v>198.9</v>
      </c>
      <c r="H22" s="239">
        <v>479449.72999440407</v>
      </c>
      <c r="I22" s="237"/>
      <c r="J22" s="236"/>
      <c r="K22" s="236">
        <f t="shared" si="1"/>
        <v>479449.72999440407</v>
      </c>
      <c r="L22" s="239">
        <v>208767.21557484608</v>
      </c>
      <c r="M22" s="233" t="s">
        <v>21</v>
      </c>
      <c r="N22" s="233" t="s">
        <v>22</v>
      </c>
      <c r="O22" s="233" t="s">
        <v>23</v>
      </c>
    </row>
    <row r="23" spans="1:15" x14ac:dyDescent="0.25">
      <c r="A23" s="233" t="s">
        <v>27</v>
      </c>
      <c r="B23" s="234" t="s">
        <v>92</v>
      </c>
      <c r="C23" s="234">
        <v>55418</v>
      </c>
      <c r="D23" s="230" t="s">
        <v>49</v>
      </c>
      <c r="E23" s="233" t="s">
        <v>30</v>
      </c>
      <c r="F23" s="233" t="s">
        <v>34</v>
      </c>
      <c r="G23" s="235">
        <v>317</v>
      </c>
      <c r="H23" s="236">
        <v>764130.54001119197</v>
      </c>
      <c r="I23" s="237"/>
      <c r="J23" s="236"/>
      <c r="K23" s="236">
        <f t="shared" si="1"/>
        <v>764130.54001119197</v>
      </c>
      <c r="L23" s="239">
        <v>332726.02985030774</v>
      </c>
      <c r="M23" s="233" t="s">
        <v>21</v>
      </c>
      <c r="N23" s="233" t="s">
        <v>22</v>
      </c>
      <c r="O23" s="233" t="s">
        <v>23</v>
      </c>
    </row>
    <row r="24" spans="1:15" x14ac:dyDescent="0.25">
      <c r="A24" s="233" t="s">
        <v>27</v>
      </c>
      <c r="B24" s="234" t="s">
        <v>93</v>
      </c>
      <c r="C24" s="234">
        <v>55714</v>
      </c>
      <c r="D24" s="230" t="s">
        <v>46</v>
      </c>
      <c r="E24" s="233" t="s">
        <v>30</v>
      </c>
      <c r="F24" s="233" t="s">
        <v>31</v>
      </c>
      <c r="G24" s="235">
        <v>242</v>
      </c>
      <c r="H24" s="239">
        <v>356210.6997319035</v>
      </c>
      <c r="I24" s="237"/>
      <c r="J24" s="238"/>
      <c r="K24" s="236">
        <f t="shared" si="1"/>
        <v>356210.6997319035</v>
      </c>
      <c r="L24" s="239">
        <v>152486.33388203752</v>
      </c>
      <c r="M24" s="233" t="s">
        <v>21</v>
      </c>
      <c r="N24" s="233" t="s">
        <v>22</v>
      </c>
      <c r="O24" s="233" t="s">
        <v>23</v>
      </c>
    </row>
    <row r="25" spans="1:15" x14ac:dyDescent="0.25">
      <c r="A25" s="233" t="s">
        <v>27</v>
      </c>
      <c r="B25" s="234" t="s">
        <v>93</v>
      </c>
      <c r="C25" s="234">
        <v>55714</v>
      </c>
      <c r="D25" s="230" t="s">
        <v>48</v>
      </c>
      <c r="E25" s="233" t="s">
        <v>30</v>
      </c>
      <c r="F25" s="233" t="s">
        <v>31</v>
      </c>
      <c r="G25" s="235">
        <v>242</v>
      </c>
      <c r="H25" s="239">
        <v>356210.6997319035</v>
      </c>
      <c r="I25" s="237"/>
      <c r="J25" s="238"/>
      <c r="K25" s="236">
        <f t="shared" si="1"/>
        <v>356210.6997319035</v>
      </c>
      <c r="L25" s="239">
        <v>152486.33388203752</v>
      </c>
      <c r="M25" s="233" t="s">
        <v>21</v>
      </c>
      <c r="N25" s="233" t="s">
        <v>22</v>
      </c>
      <c r="O25" s="233" t="s">
        <v>23</v>
      </c>
    </row>
    <row r="26" spans="1:15" x14ac:dyDescent="0.25">
      <c r="A26" s="233" t="s">
        <v>27</v>
      </c>
      <c r="B26" s="234" t="s">
        <v>93</v>
      </c>
      <c r="C26" s="234">
        <v>55714</v>
      </c>
      <c r="D26" s="230" t="s">
        <v>49</v>
      </c>
      <c r="E26" s="233" t="s">
        <v>30</v>
      </c>
      <c r="F26" s="233" t="s">
        <v>34</v>
      </c>
      <c r="G26" s="235">
        <v>262</v>
      </c>
      <c r="H26" s="236">
        <v>385649.60053619306</v>
      </c>
      <c r="I26" s="237"/>
      <c r="J26" s="238"/>
      <c r="K26" s="236">
        <f t="shared" si="1"/>
        <v>385649.60053619306</v>
      </c>
      <c r="L26" s="239">
        <v>165088.51023592491</v>
      </c>
      <c r="M26" s="233" t="s">
        <v>21</v>
      </c>
      <c r="N26" s="233" t="s">
        <v>22</v>
      </c>
      <c r="O26" s="233" t="s">
        <v>23</v>
      </c>
    </row>
    <row r="27" spans="1:15" x14ac:dyDescent="0.25">
      <c r="A27" s="233" t="s">
        <v>27</v>
      </c>
      <c r="B27" s="234" t="s">
        <v>53</v>
      </c>
      <c r="C27" s="234">
        <v>55075</v>
      </c>
      <c r="D27" s="230" t="s">
        <v>54</v>
      </c>
      <c r="E27" s="233" t="s">
        <v>30</v>
      </c>
      <c r="F27" s="233" t="s">
        <v>31</v>
      </c>
      <c r="G27" s="235">
        <v>180</v>
      </c>
      <c r="H27" s="239">
        <v>1137841.779661017</v>
      </c>
      <c r="I27" s="237">
        <v>0.52827492089934369</v>
      </c>
      <c r="J27" s="240">
        <f>(4/3)*3.412*H27*(1/I27-1)</f>
        <v>4622305.0954204407</v>
      </c>
      <c r="K27" s="236">
        <f>H27+ 0.75*J27/3.412</f>
        <v>2153881.8797680894</v>
      </c>
      <c r="L27" s="239">
        <v>647588.84110169497</v>
      </c>
      <c r="M27" s="233" t="s">
        <v>55</v>
      </c>
      <c r="N27" s="233" t="s">
        <v>56</v>
      </c>
      <c r="O27" s="233" t="s">
        <v>23</v>
      </c>
    </row>
    <row r="28" spans="1:15" x14ac:dyDescent="0.25">
      <c r="A28" s="233" t="s">
        <v>27</v>
      </c>
      <c r="B28" s="234" t="s">
        <v>53</v>
      </c>
      <c r="C28" s="234">
        <v>55075</v>
      </c>
      <c r="D28" s="230" t="s">
        <v>57</v>
      </c>
      <c r="E28" s="233" t="s">
        <v>30</v>
      </c>
      <c r="F28" s="233" t="s">
        <v>34</v>
      </c>
      <c r="G28" s="235">
        <v>56</v>
      </c>
      <c r="H28" s="236">
        <v>353995.22033898305</v>
      </c>
      <c r="I28" s="237">
        <v>0.52827492089934369</v>
      </c>
      <c r="J28" s="240">
        <f>(4/3)*3.412*H28*(1/I28-1)</f>
        <v>1438050.4741308037</v>
      </c>
      <c r="K28" s="236">
        <f>H28+ 0.75*J28/3.412</f>
        <v>670096.58481673885</v>
      </c>
      <c r="L28" s="239">
        <v>201472.08389830511</v>
      </c>
      <c r="M28" s="233" t="s">
        <v>55</v>
      </c>
      <c r="N28" s="233" t="s">
        <v>56</v>
      </c>
      <c r="O28" s="233" t="s">
        <v>23</v>
      </c>
    </row>
    <row r="29" spans="1:15" x14ac:dyDescent="0.25">
      <c r="A29" s="233" t="s">
        <v>27</v>
      </c>
      <c r="B29" s="234" t="s">
        <v>58</v>
      </c>
      <c r="C29" s="234">
        <v>201</v>
      </c>
      <c r="D29" s="230" t="s">
        <v>18</v>
      </c>
      <c r="E29" s="233" t="s">
        <v>30</v>
      </c>
      <c r="F29" s="233" t="s">
        <v>34</v>
      </c>
      <c r="G29" s="235">
        <v>59</v>
      </c>
      <c r="H29" s="236">
        <v>1523.7945945945946</v>
      </c>
      <c r="I29" s="237"/>
      <c r="J29" s="238"/>
      <c r="K29" s="236">
        <f t="shared" ref="K29:K42" si="2">H29</f>
        <v>1523.7945945945946</v>
      </c>
      <c r="L29" s="239">
        <v>968.60746486486482</v>
      </c>
      <c r="M29" s="233" t="s">
        <v>21</v>
      </c>
      <c r="N29" s="233" t="s">
        <v>22</v>
      </c>
      <c r="O29" s="233" t="s">
        <v>23</v>
      </c>
    </row>
    <row r="30" spans="1:15" x14ac:dyDescent="0.25">
      <c r="A30" s="233" t="s">
        <v>27</v>
      </c>
      <c r="B30" s="234" t="s">
        <v>58</v>
      </c>
      <c r="C30" s="234">
        <v>201</v>
      </c>
      <c r="D30" s="230" t="s">
        <v>25</v>
      </c>
      <c r="E30" s="233" t="s">
        <v>30</v>
      </c>
      <c r="F30" s="233" t="s">
        <v>31</v>
      </c>
      <c r="G30" s="235">
        <v>126</v>
      </c>
      <c r="H30" s="239">
        <v>3254.2054054054056</v>
      </c>
      <c r="I30" s="237"/>
      <c r="J30" s="238"/>
      <c r="K30" s="236">
        <f t="shared" si="2"/>
        <v>3254.2054054054056</v>
      </c>
      <c r="L30" s="239">
        <v>2068.5515351351351</v>
      </c>
      <c r="M30" s="233" t="s">
        <v>21</v>
      </c>
      <c r="N30" s="233" t="s">
        <v>22</v>
      </c>
      <c r="O30" s="233" t="s">
        <v>23</v>
      </c>
    </row>
    <row r="31" spans="1:15" x14ac:dyDescent="0.25">
      <c r="A31" s="233" t="s">
        <v>27</v>
      </c>
      <c r="B31" s="234" t="s">
        <v>59</v>
      </c>
      <c r="C31" s="234">
        <v>55380</v>
      </c>
      <c r="D31" s="230" t="s">
        <v>29</v>
      </c>
      <c r="E31" s="233" t="s">
        <v>30</v>
      </c>
      <c r="F31" s="233" t="s">
        <v>31</v>
      </c>
      <c r="G31" s="235">
        <v>176</v>
      </c>
      <c r="H31" s="239">
        <v>454281.22570016474</v>
      </c>
      <c r="I31" s="237"/>
      <c r="J31" s="238"/>
      <c r="K31" s="236">
        <f t="shared" si="2"/>
        <v>454281.22570016474</v>
      </c>
      <c r="L31" s="239">
        <v>203808.49922240525</v>
      </c>
      <c r="M31" s="233" t="s">
        <v>86</v>
      </c>
      <c r="N31" s="233" t="s">
        <v>22</v>
      </c>
      <c r="O31" s="233" t="s">
        <v>23</v>
      </c>
    </row>
    <row r="32" spans="1:15" x14ac:dyDescent="0.25">
      <c r="A32" s="233" t="s">
        <v>27</v>
      </c>
      <c r="B32" s="234" t="s">
        <v>59</v>
      </c>
      <c r="C32" s="234">
        <v>55380</v>
      </c>
      <c r="D32" s="230" t="s">
        <v>32</v>
      </c>
      <c r="E32" s="233" t="s">
        <v>30</v>
      </c>
      <c r="F32" s="233" t="s">
        <v>31</v>
      </c>
      <c r="G32" s="235">
        <v>176</v>
      </c>
      <c r="H32" s="239">
        <v>454281.22570016474</v>
      </c>
      <c r="I32" s="237"/>
      <c r="J32" s="238"/>
      <c r="K32" s="236">
        <f t="shared" si="2"/>
        <v>454281.22570016474</v>
      </c>
      <c r="L32" s="239">
        <v>203808.49922240525</v>
      </c>
      <c r="M32" s="233" t="s">
        <v>86</v>
      </c>
      <c r="N32" s="233" t="s">
        <v>22</v>
      </c>
      <c r="O32" s="233" t="s">
        <v>23</v>
      </c>
    </row>
    <row r="33" spans="1:15" x14ac:dyDescent="0.25">
      <c r="A33" s="233" t="s">
        <v>27</v>
      </c>
      <c r="B33" s="234" t="s">
        <v>59</v>
      </c>
      <c r="C33" s="234">
        <v>55380</v>
      </c>
      <c r="D33" s="230" t="s">
        <v>60</v>
      </c>
      <c r="E33" s="233" t="s">
        <v>30</v>
      </c>
      <c r="F33" s="233" t="s">
        <v>31</v>
      </c>
      <c r="G33" s="235">
        <v>176</v>
      </c>
      <c r="H33" s="239">
        <v>454281.22570016474</v>
      </c>
      <c r="I33" s="237"/>
      <c r="J33" s="238"/>
      <c r="K33" s="236">
        <f t="shared" si="2"/>
        <v>454281.22570016474</v>
      </c>
      <c r="L33" s="239">
        <v>203808.49922240525</v>
      </c>
      <c r="M33" s="233" t="s">
        <v>86</v>
      </c>
      <c r="N33" s="233" t="s">
        <v>22</v>
      </c>
      <c r="O33" s="233" t="s">
        <v>23</v>
      </c>
    </row>
    <row r="34" spans="1:15" x14ac:dyDescent="0.25">
      <c r="A34" s="233" t="s">
        <v>27</v>
      </c>
      <c r="B34" s="234" t="s">
        <v>59</v>
      </c>
      <c r="C34" s="234">
        <v>55380</v>
      </c>
      <c r="D34" s="230" t="s">
        <v>61</v>
      </c>
      <c r="E34" s="233" t="s">
        <v>30</v>
      </c>
      <c r="F34" s="233" t="s">
        <v>31</v>
      </c>
      <c r="G34" s="235">
        <v>176</v>
      </c>
      <c r="H34" s="239">
        <v>454281.22570016474</v>
      </c>
      <c r="I34" s="237"/>
      <c r="J34" s="238"/>
      <c r="K34" s="236">
        <f t="shared" si="2"/>
        <v>454281.22570016474</v>
      </c>
      <c r="L34" s="239">
        <v>203808.49922240525</v>
      </c>
      <c r="M34" s="233" t="s">
        <v>86</v>
      </c>
      <c r="N34" s="233" t="s">
        <v>22</v>
      </c>
      <c r="O34" s="233" t="s">
        <v>23</v>
      </c>
    </row>
    <row r="35" spans="1:15" x14ac:dyDescent="0.25">
      <c r="A35" s="233" t="s">
        <v>27</v>
      </c>
      <c r="B35" s="234" t="s">
        <v>59</v>
      </c>
      <c r="C35" s="234">
        <v>55380</v>
      </c>
      <c r="D35" s="230" t="s">
        <v>62</v>
      </c>
      <c r="E35" s="233" t="s">
        <v>30</v>
      </c>
      <c r="F35" s="233" t="s">
        <v>31</v>
      </c>
      <c r="G35" s="235">
        <v>176</v>
      </c>
      <c r="H35" s="239">
        <v>454281.22570016474</v>
      </c>
      <c r="I35" s="237"/>
      <c r="J35" s="238"/>
      <c r="K35" s="236">
        <f t="shared" si="2"/>
        <v>454281.22570016474</v>
      </c>
      <c r="L35" s="239">
        <v>203808.49922240525</v>
      </c>
      <c r="M35" s="233" t="s">
        <v>86</v>
      </c>
      <c r="N35" s="233" t="s">
        <v>22</v>
      </c>
      <c r="O35" s="233" t="s">
        <v>23</v>
      </c>
    </row>
    <row r="36" spans="1:15" x14ac:dyDescent="0.25">
      <c r="A36" s="233" t="s">
        <v>27</v>
      </c>
      <c r="B36" s="234" t="s">
        <v>59</v>
      </c>
      <c r="C36" s="234">
        <v>55380</v>
      </c>
      <c r="D36" s="230" t="s">
        <v>63</v>
      </c>
      <c r="E36" s="233" t="s">
        <v>30</v>
      </c>
      <c r="F36" s="233" t="s">
        <v>31</v>
      </c>
      <c r="G36" s="235">
        <v>176</v>
      </c>
      <c r="H36" s="239">
        <v>454281.22570016474</v>
      </c>
      <c r="I36" s="237"/>
      <c r="J36" s="238"/>
      <c r="K36" s="236">
        <f t="shared" si="2"/>
        <v>454281.22570016474</v>
      </c>
      <c r="L36" s="239">
        <v>203808.49922240525</v>
      </c>
      <c r="M36" s="233" t="s">
        <v>86</v>
      </c>
      <c r="N36" s="233" t="s">
        <v>22</v>
      </c>
      <c r="O36" s="233" t="s">
        <v>23</v>
      </c>
    </row>
    <row r="37" spans="1:15" x14ac:dyDescent="0.25">
      <c r="A37" s="233" t="s">
        <v>27</v>
      </c>
      <c r="B37" s="234" t="s">
        <v>59</v>
      </c>
      <c r="C37" s="234">
        <v>55380</v>
      </c>
      <c r="D37" s="230" t="s">
        <v>64</v>
      </c>
      <c r="E37" s="233" t="s">
        <v>30</v>
      </c>
      <c r="F37" s="233" t="s">
        <v>31</v>
      </c>
      <c r="G37" s="235">
        <v>176</v>
      </c>
      <c r="H37" s="239">
        <v>454281.22570016474</v>
      </c>
      <c r="I37" s="237"/>
      <c r="J37" s="238"/>
      <c r="K37" s="236">
        <f t="shared" si="2"/>
        <v>454281.22570016474</v>
      </c>
      <c r="L37" s="239">
        <v>203808.49922240525</v>
      </c>
      <c r="M37" s="233" t="s">
        <v>86</v>
      </c>
      <c r="N37" s="233" t="s">
        <v>22</v>
      </c>
      <c r="O37" s="233" t="s">
        <v>23</v>
      </c>
    </row>
    <row r="38" spans="1:15" x14ac:dyDescent="0.25">
      <c r="A38" s="233" t="s">
        <v>27</v>
      </c>
      <c r="B38" s="234" t="s">
        <v>59</v>
      </c>
      <c r="C38" s="234">
        <v>55380</v>
      </c>
      <c r="D38" s="230" t="s">
        <v>65</v>
      </c>
      <c r="E38" s="233" t="s">
        <v>30</v>
      </c>
      <c r="F38" s="233" t="s">
        <v>31</v>
      </c>
      <c r="G38" s="235">
        <v>176</v>
      </c>
      <c r="H38" s="239">
        <v>454281.22570016474</v>
      </c>
      <c r="I38" s="237"/>
      <c r="J38" s="238"/>
      <c r="K38" s="236">
        <f t="shared" si="2"/>
        <v>454281.22570016474</v>
      </c>
      <c r="L38" s="239">
        <v>203808.49922240525</v>
      </c>
      <c r="M38" s="233" t="s">
        <v>86</v>
      </c>
      <c r="N38" s="233" t="s">
        <v>22</v>
      </c>
      <c r="O38" s="233" t="s">
        <v>23</v>
      </c>
    </row>
    <row r="39" spans="1:15" x14ac:dyDescent="0.25">
      <c r="A39" s="233" t="s">
        <v>27</v>
      </c>
      <c r="B39" s="234" t="s">
        <v>59</v>
      </c>
      <c r="C39" s="234">
        <v>55380</v>
      </c>
      <c r="D39" s="230" t="s">
        <v>66</v>
      </c>
      <c r="E39" s="233" t="s">
        <v>30</v>
      </c>
      <c r="F39" s="233" t="s">
        <v>34</v>
      </c>
      <c r="G39" s="235">
        <v>255</v>
      </c>
      <c r="H39" s="236">
        <v>658191.54859967052</v>
      </c>
      <c r="I39" s="237"/>
      <c r="J39" s="238"/>
      <c r="K39" s="236">
        <f t="shared" si="2"/>
        <v>658191.54859967052</v>
      </c>
      <c r="L39" s="241">
        <v>295290.72330518946</v>
      </c>
      <c r="M39" s="233" t="s">
        <v>86</v>
      </c>
      <c r="N39" s="233" t="s">
        <v>22</v>
      </c>
      <c r="O39" s="233" t="s">
        <v>23</v>
      </c>
    </row>
    <row r="40" spans="1:15" x14ac:dyDescent="0.25">
      <c r="A40" s="233" t="s">
        <v>27</v>
      </c>
      <c r="B40" s="234" t="s">
        <v>59</v>
      </c>
      <c r="C40" s="234">
        <v>55380</v>
      </c>
      <c r="D40" s="230" t="s">
        <v>67</v>
      </c>
      <c r="E40" s="233" t="s">
        <v>30</v>
      </c>
      <c r="F40" s="233" t="s">
        <v>34</v>
      </c>
      <c r="G40" s="235">
        <v>255</v>
      </c>
      <c r="H40" s="236">
        <v>658191.54859967052</v>
      </c>
      <c r="I40" s="237"/>
      <c r="J40" s="238"/>
      <c r="K40" s="236">
        <f t="shared" si="2"/>
        <v>658191.54859967052</v>
      </c>
      <c r="L40" s="241">
        <v>295290.72330518946</v>
      </c>
      <c r="M40" s="233" t="s">
        <v>86</v>
      </c>
      <c r="N40" s="233" t="s">
        <v>22</v>
      </c>
      <c r="O40" s="233" t="s">
        <v>23</v>
      </c>
    </row>
    <row r="41" spans="1:15" x14ac:dyDescent="0.25">
      <c r="A41" s="233" t="s">
        <v>27</v>
      </c>
      <c r="B41" s="234" t="s">
        <v>59</v>
      </c>
      <c r="C41" s="234">
        <v>55380</v>
      </c>
      <c r="D41" s="230" t="s">
        <v>68</v>
      </c>
      <c r="E41" s="233" t="s">
        <v>30</v>
      </c>
      <c r="F41" s="233" t="s">
        <v>34</v>
      </c>
      <c r="G41" s="235">
        <v>255</v>
      </c>
      <c r="H41" s="236">
        <v>658191.54859967052</v>
      </c>
      <c r="I41" s="237"/>
      <c r="J41" s="238"/>
      <c r="K41" s="236">
        <f t="shared" si="2"/>
        <v>658191.54859967052</v>
      </c>
      <c r="L41" s="241">
        <v>295290.72330518946</v>
      </c>
      <c r="M41" s="233" t="s">
        <v>86</v>
      </c>
      <c r="N41" s="233" t="s">
        <v>22</v>
      </c>
      <c r="O41" s="233" t="s">
        <v>23</v>
      </c>
    </row>
    <row r="42" spans="1:15" x14ac:dyDescent="0.25">
      <c r="A42" s="233" t="s">
        <v>27</v>
      </c>
      <c r="B42" s="234" t="s">
        <v>59</v>
      </c>
      <c r="C42" s="234">
        <v>55380</v>
      </c>
      <c r="D42" s="230" t="s">
        <v>69</v>
      </c>
      <c r="E42" s="233" t="s">
        <v>30</v>
      </c>
      <c r="F42" s="233" t="s">
        <v>34</v>
      </c>
      <c r="G42" s="235">
        <v>255</v>
      </c>
      <c r="H42" s="236">
        <v>658191.54859967052</v>
      </c>
      <c r="I42" s="237"/>
      <c r="J42" s="238"/>
      <c r="K42" s="236">
        <f t="shared" si="2"/>
        <v>658191.54859967052</v>
      </c>
      <c r="L42" s="241">
        <v>295290.72330518946</v>
      </c>
      <c r="M42" s="233" t="s">
        <v>86</v>
      </c>
      <c r="N42" s="233" t="s">
        <v>22</v>
      </c>
      <c r="O42" s="233" t="s">
        <v>23</v>
      </c>
    </row>
    <row r="43" spans="1:15" x14ac:dyDescent="0.25">
      <c r="A43" s="233" t="s">
        <v>70</v>
      </c>
      <c r="B43" s="234" t="s">
        <v>71</v>
      </c>
      <c r="C43" s="234">
        <v>202</v>
      </c>
      <c r="D43" s="230" t="s">
        <v>18</v>
      </c>
      <c r="E43" s="233" t="s">
        <v>30</v>
      </c>
      <c r="F43" s="233" t="s">
        <v>20</v>
      </c>
      <c r="G43" s="235">
        <v>120</v>
      </c>
      <c r="H43" s="236">
        <v>11996</v>
      </c>
      <c r="I43" s="237"/>
      <c r="J43" s="238"/>
      <c r="K43" s="236">
        <f t="shared" ref="K43:K45" si="3">H43+J43*0.75/3.412</f>
        <v>11996</v>
      </c>
      <c r="L43" s="239">
        <v>9852.9599999999991</v>
      </c>
      <c r="M43" s="233" t="s">
        <v>21</v>
      </c>
      <c r="N43" s="233" t="s">
        <v>22</v>
      </c>
      <c r="O43" s="233" t="s">
        <v>23</v>
      </c>
    </row>
    <row r="44" spans="1:15" x14ac:dyDescent="0.25">
      <c r="A44" s="233" t="s">
        <v>70</v>
      </c>
      <c r="B44" s="234" t="s">
        <v>72</v>
      </c>
      <c r="C44" s="234">
        <v>167</v>
      </c>
      <c r="D44" s="230" t="s">
        <v>25</v>
      </c>
      <c r="E44" s="233" t="s">
        <v>30</v>
      </c>
      <c r="F44" s="233" t="s">
        <v>20</v>
      </c>
      <c r="G44" s="235">
        <v>69</v>
      </c>
      <c r="H44" s="236">
        <v>0</v>
      </c>
      <c r="I44" s="237"/>
      <c r="J44" s="238"/>
      <c r="K44" s="236">
        <f t="shared" si="3"/>
        <v>0</v>
      </c>
      <c r="L44" s="239">
        <v>0</v>
      </c>
      <c r="M44" s="233" t="s">
        <v>21</v>
      </c>
      <c r="N44" s="233" t="s">
        <v>22</v>
      </c>
      <c r="O44" s="233" t="s">
        <v>73</v>
      </c>
    </row>
    <row r="45" spans="1:15" x14ac:dyDescent="0.25">
      <c r="A45" s="233" t="s">
        <v>70</v>
      </c>
      <c r="B45" s="234" t="s">
        <v>72</v>
      </c>
      <c r="C45" s="234">
        <v>167</v>
      </c>
      <c r="D45" s="230" t="s">
        <v>74</v>
      </c>
      <c r="E45" s="233" t="s">
        <v>30</v>
      </c>
      <c r="F45" s="233" t="s">
        <v>20</v>
      </c>
      <c r="G45" s="235">
        <v>156.19999999999999</v>
      </c>
      <c r="H45" s="236">
        <v>-109</v>
      </c>
      <c r="I45" s="237"/>
      <c r="J45" s="238"/>
      <c r="K45" s="236">
        <f t="shared" si="3"/>
        <v>-109</v>
      </c>
      <c r="L45" s="239">
        <v>0</v>
      </c>
      <c r="M45" s="233" t="s">
        <v>21</v>
      </c>
      <c r="N45" s="233" t="s">
        <v>22</v>
      </c>
      <c r="O45" s="233" t="s">
        <v>76</v>
      </c>
    </row>
    <row r="46" spans="1:15" x14ac:dyDescent="0.25">
      <c r="A46" s="233" t="s">
        <v>70</v>
      </c>
      <c r="B46" s="234" t="s">
        <v>75</v>
      </c>
      <c r="C46" s="234">
        <v>168</v>
      </c>
      <c r="D46" s="230" t="s">
        <v>18</v>
      </c>
      <c r="E46" s="233" t="s">
        <v>30</v>
      </c>
      <c r="F46" s="233" t="s">
        <v>20</v>
      </c>
      <c r="G46" s="235">
        <v>69</v>
      </c>
      <c r="H46" s="241" t="s">
        <v>87</v>
      </c>
      <c r="I46" s="237"/>
      <c r="J46" s="238"/>
      <c r="K46" s="236" t="s">
        <v>88</v>
      </c>
      <c r="L46" s="241" t="s">
        <v>87</v>
      </c>
      <c r="M46" s="233" t="s">
        <v>21</v>
      </c>
      <c r="N46" s="233" t="s">
        <v>22</v>
      </c>
      <c r="O46" s="233" t="s">
        <v>73</v>
      </c>
    </row>
    <row r="47" spans="1:15" x14ac:dyDescent="0.25">
      <c r="A47" s="233" t="s">
        <v>70</v>
      </c>
      <c r="B47" s="234" t="s">
        <v>75</v>
      </c>
      <c r="C47" s="234">
        <v>168</v>
      </c>
      <c r="D47" s="230" t="s">
        <v>25</v>
      </c>
      <c r="E47" s="233" t="s">
        <v>30</v>
      </c>
      <c r="F47" s="233" t="s">
        <v>20</v>
      </c>
      <c r="G47" s="235">
        <v>69</v>
      </c>
      <c r="H47" s="241" t="s">
        <v>87</v>
      </c>
      <c r="I47" s="237"/>
      <c r="J47" s="238"/>
      <c r="K47" s="236" t="s">
        <v>88</v>
      </c>
      <c r="L47" s="241" t="s">
        <v>87</v>
      </c>
      <c r="M47" s="233" t="s">
        <v>21</v>
      </c>
      <c r="N47" s="233" t="s">
        <v>22</v>
      </c>
      <c r="O47" s="233" t="s">
        <v>73</v>
      </c>
    </row>
    <row r="48" spans="1:15" x14ac:dyDescent="0.25">
      <c r="A48" s="233" t="s">
        <v>70</v>
      </c>
      <c r="B48" s="234" t="s">
        <v>77</v>
      </c>
      <c r="C48" s="234">
        <v>169</v>
      </c>
      <c r="D48" s="230" t="s">
        <v>25</v>
      </c>
      <c r="E48" s="233" t="s">
        <v>30</v>
      </c>
      <c r="F48" s="233" t="s">
        <v>20</v>
      </c>
      <c r="G48" s="235">
        <v>156.19999999999999</v>
      </c>
      <c r="H48" s="236">
        <v>-466</v>
      </c>
      <c r="I48" s="237"/>
      <c r="J48" s="238"/>
      <c r="K48" s="236">
        <f t="shared" ref="K48:K55" si="4">H48+J48*0.75/3.412</f>
        <v>-466</v>
      </c>
      <c r="L48" s="239">
        <v>0</v>
      </c>
      <c r="M48" s="233" t="s">
        <v>21</v>
      </c>
      <c r="N48" s="233" t="s">
        <v>22</v>
      </c>
      <c r="O48" s="233" t="s">
        <v>76</v>
      </c>
    </row>
    <row r="49" spans="1:15" x14ac:dyDescent="0.25">
      <c r="A49" s="233" t="s">
        <v>70</v>
      </c>
      <c r="B49" s="234" t="s">
        <v>78</v>
      </c>
      <c r="C49" s="234">
        <v>170</v>
      </c>
      <c r="D49" s="230" t="s">
        <v>18</v>
      </c>
      <c r="E49" s="233" t="s">
        <v>30</v>
      </c>
      <c r="F49" s="233" t="s">
        <v>20</v>
      </c>
      <c r="G49" s="235">
        <v>40</v>
      </c>
      <c r="H49" s="236">
        <v>-36</v>
      </c>
      <c r="I49" s="237"/>
      <c r="J49" s="238"/>
      <c r="K49" s="236">
        <f t="shared" si="4"/>
        <v>-36</v>
      </c>
      <c r="L49" s="239">
        <v>0</v>
      </c>
      <c r="M49" s="233" t="s">
        <v>21</v>
      </c>
      <c r="N49" s="233" t="s">
        <v>22</v>
      </c>
      <c r="O49" s="233" t="s">
        <v>76</v>
      </c>
    </row>
    <row r="50" spans="1:15" x14ac:dyDescent="0.25">
      <c r="A50" s="233" t="s">
        <v>70</v>
      </c>
      <c r="B50" s="234" t="s">
        <v>78</v>
      </c>
      <c r="C50" s="234">
        <v>170</v>
      </c>
      <c r="D50" s="230" t="s">
        <v>25</v>
      </c>
      <c r="E50" s="233" t="s">
        <v>30</v>
      </c>
      <c r="F50" s="233" t="s">
        <v>20</v>
      </c>
      <c r="G50" s="235">
        <v>40</v>
      </c>
      <c r="H50" s="236">
        <v>0</v>
      </c>
      <c r="I50" s="237"/>
      <c r="J50" s="238"/>
      <c r="K50" s="236">
        <f t="shared" si="4"/>
        <v>0</v>
      </c>
      <c r="L50" s="239">
        <v>0</v>
      </c>
      <c r="M50" s="233" t="s">
        <v>21</v>
      </c>
      <c r="N50" s="233" t="s">
        <v>22</v>
      </c>
      <c r="O50" s="233" t="s">
        <v>76</v>
      </c>
    </row>
    <row r="51" spans="1:15" x14ac:dyDescent="0.25">
      <c r="A51" s="233" t="s">
        <v>70</v>
      </c>
      <c r="B51" s="234" t="s">
        <v>78</v>
      </c>
      <c r="C51" s="234">
        <v>170</v>
      </c>
      <c r="D51" s="230" t="s">
        <v>74</v>
      </c>
      <c r="E51" s="233" t="s">
        <v>30</v>
      </c>
      <c r="F51" s="233" t="s">
        <v>20</v>
      </c>
      <c r="G51" s="235">
        <v>119.5</v>
      </c>
      <c r="H51" s="236">
        <v>11466</v>
      </c>
      <c r="I51" s="237"/>
      <c r="J51" s="238"/>
      <c r="K51" s="236">
        <f t="shared" si="4"/>
        <v>11466</v>
      </c>
      <c r="L51" s="239">
        <v>12040.75</v>
      </c>
      <c r="M51" s="233" t="s">
        <v>21</v>
      </c>
      <c r="N51" s="233" t="s">
        <v>22</v>
      </c>
      <c r="O51" s="233" t="s">
        <v>76</v>
      </c>
    </row>
    <row r="52" spans="1:15" x14ac:dyDescent="0.25">
      <c r="A52" s="233" t="s">
        <v>70</v>
      </c>
      <c r="B52" s="234" t="s">
        <v>78</v>
      </c>
      <c r="C52" s="234">
        <v>170</v>
      </c>
      <c r="D52" s="230" t="s">
        <v>79</v>
      </c>
      <c r="E52" s="233" t="s">
        <v>30</v>
      </c>
      <c r="F52" s="233" t="s">
        <v>20</v>
      </c>
      <c r="G52" s="235">
        <v>552.5</v>
      </c>
      <c r="H52" s="236">
        <v>466409</v>
      </c>
      <c r="I52" s="237"/>
      <c r="J52" s="238"/>
      <c r="K52" s="236">
        <f t="shared" si="4"/>
        <v>466409</v>
      </c>
      <c r="L52" s="239">
        <v>338218.04800000001</v>
      </c>
      <c r="M52" s="233" t="s">
        <v>21</v>
      </c>
      <c r="N52" s="233" t="s">
        <v>22</v>
      </c>
      <c r="O52" s="233" t="s">
        <v>89</v>
      </c>
    </row>
    <row r="53" spans="1:15" x14ac:dyDescent="0.25">
      <c r="A53" s="233" t="s">
        <v>70</v>
      </c>
      <c r="B53" s="234" t="s">
        <v>80</v>
      </c>
      <c r="C53" s="234">
        <v>203</v>
      </c>
      <c r="D53" s="230" t="s">
        <v>18</v>
      </c>
      <c r="E53" s="233" t="s">
        <v>30</v>
      </c>
      <c r="F53" s="233" t="s">
        <v>20</v>
      </c>
      <c r="G53" s="235">
        <v>136</v>
      </c>
      <c r="H53" s="236">
        <v>215758</v>
      </c>
      <c r="I53" s="237"/>
      <c r="J53" s="238"/>
      <c r="K53" s="236">
        <f t="shared" si="4"/>
        <v>215758</v>
      </c>
      <c r="L53" s="239">
        <v>151164.386</v>
      </c>
      <c r="M53" s="233" t="s">
        <v>21</v>
      </c>
      <c r="N53" s="233" t="s">
        <v>22</v>
      </c>
      <c r="O53" s="233" t="s">
        <v>23</v>
      </c>
    </row>
    <row r="54" spans="1:15" x14ac:dyDescent="0.25">
      <c r="A54" s="233" t="s">
        <v>70</v>
      </c>
      <c r="B54" s="234" t="s">
        <v>81</v>
      </c>
      <c r="C54" s="234">
        <v>173</v>
      </c>
      <c r="D54" s="230" t="s">
        <v>18</v>
      </c>
      <c r="E54" s="233" t="s">
        <v>30</v>
      </c>
      <c r="F54" s="233" t="s">
        <v>20</v>
      </c>
      <c r="G54" s="235">
        <v>359</v>
      </c>
      <c r="H54" s="236">
        <v>-81</v>
      </c>
      <c r="I54" s="237"/>
      <c r="J54" s="238"/>
      <c r="K54" s="236">
        <f t="shared" si="4"/>
        <v>-81</v>
      </c>
      <c r="L54" s="239">
        <v>0</v>
      </c>
      <c r="M54" s="233" t="s">
        <v>21</v>
      </c>
      <c r="N54" s="233" t="s">
        <v>22</v>
      </c>
      <c r="O54" s="233" t="s">
        <v>73</v>
      </c>
    </row>
    <row r="55" spans="1:15" x14ac:dyDescent="0.25">
      <c r="A55" s="233" t="s">
        <v>70</v>
      </c>
      <c r="B55" s="234" t="s">
        <v>81</v>
      </c>
      <c r="C55" s="234">
        <v>173</v>
      </c>
      <c r="D55" s="230" t="s">
        <v>25</v>
      </c>
      <c r="E55" s="233" t="s">
        <v>30</v>
      </c>
      <c r="F55" s="233" t="s">
        <v>20</v>
      </c>
      <c r="G55" s="235">
        <v>544.6</v>
      </c>
      <c r="H55" s="236">
        <v>0</v>
      </c>
      <c r="I55" s="237"/>
      <c r="J55" s="238"/>
      <c r="K55" s="236">
        <f t="shared" si="4"/>
        <v>0</v>
      </c>
      <c r="L55" s="239">
        <v>0</v>
      </c>
      <c r="M55" s="233" t="s">
        <v>21</v>
      </c>
      <c r="N55" s="233" t="s">
        <v>22</v>
      </c>
      <c r="O55" s="233" t="s">
        <v>76</v>
      </c>
    </row>
    <row r="56" spans="1:15" x14ac:dyDescent="0.25">
      <c r="K56" s="236"/>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
  <sheetViews>
    <sheetView workbookViewId="0">
      <selection activeCell="B9" sqref="B9"/>
    </sheetView>
  </sheetViews>
  <sheetFormatPr defaultRowHeight="15" x14ac:dyDescent="0.25"/>
  <cols>
    <col min="1" max="1" width="32.28515625" customWidth="1"/>
    <col min="2" max="2" width="11" customWidth="1"/>
    <col min="3" max="3" width="10.85546875" customWidth="1"/>
    <col min="4" max="4" width="9.7109375" customWidth="1"/>
    <col min="5" max="5" width="11.28515625" customWidth="1"/>
    <col min="6" max="6" width="11" customWidth="1"/>
    <col min="7" max="8" width="11.28515625" customWidth="1"/>
    <col min="9" max="9" width="10.28515625" customWidth="1"/>
    <col min="10" max="10" width="10.85546875" customWidth="1"/>
    <col min="11" max="11" width="13.42578125" customWidth="1"/>
    <col min="12" max="12" width="13.28515625" customWidth="1"/>
    <col min="13" max="13" width="12.85546875" customWidth="1"/>
    <col min="14" max="14" width="10.5703125" customWidth="1"/>
    <col min="15" max="15" width="13" customWidth="1"/>
    <col min="16" max="16" width="12.5703125" customWidth="1"/>
    <col min="17" max="17" width="10.140625" customWidth="1"/>
    <col min="42" max="42" width="10.140625" bestFit="1" customWidth="1"/>
    <col min="54" max="54" width="10.7109375" customWidth="1"/>
  </cols>
  <sheetData>
    <row r="1" spans="1:54" x14ac:dyDescent="0.25">
      <c r="A1" s="29"/>
      <c r="B1" s="243" t="s">
        <v>165</v>
      </c>
      <c r="C1" s="243"/>
      <c r="D1" s="243"/>
      <c r="E1" s="243"/>
      <c r="F1" s="243"/>
      <c r="G1" s="243"/>
      <c r="H1" s="243"/>
      <c r="I1" s="243"/>
      <c r="J1" s="243"/>
      <c r="K1" s="243"/>
      <c r="L1" s="30" t="s">
        <v>94</v>
      </c>
      <c r="M1" s="244" t="s">
        <v>95</v>
      </c>
      <c r="N1" s="244"/>
      <c r="O1" s="244"/>
      <c r="P1" s="244"/>
      <c r="Q1" s="244"/>
      <c r="R1" s="244"/>
      <c r="S1" s="244"/>
      <c r="T1" s="31" t="s">
        <v>162</v>
      </c>
      <c r="U1" s="245" t="s">
        <v>163</v>
      </c>
      <c r="V1" s="245"/>
      <c r="W1" s="245"/>
      <c r="X1" s="245"/>
      <c r="Y1" s="245"/>
      <c r="Z1" s="245"/>
      <c r="AA1" s="245"/>
      <c r="AB1" s="245"/>
      <c r="AC1" s="245"/>
      <c r="AD1" s="245"/>
      <c r="AE1" s="246" t="s">
        <v>164</v>
      </c>
      <c r="AF1" s="246"/>
      <c r="AG1" s="246"/>
      <c r="AH1" s="246"/>
      <c r="AI1" s="246"/>
      <c r="AJ1" s="246"/>
      <c r="AK1" s="246"/>
      <c r="AL1" s="246"/>
      <c r="AM1" s="246"/>
      <c r="AN1" s="246"/>
      <c r="AO1" s="246"/>
      <c r="AP1" s="246"/>
      <c r="AQ1" s="247" t="s">
        <v>96</v>
      </c>
      <c r="AR1" s="247"/>
      <c r="AS1" s="247"/>
      <c r="AT1" s="247"/>
      <c r="AU1" s="247"/>
      <c r="AV1" s="247"/>
      <c r="AW1" s="247"/>
      <c r="AX1" s="247"/>
      <c r="AY1" s="247"/>
      <c r="AZ1" s="247"/>
      <c r="BA1" s="247"/>
      <c r="BB1" s="248"/>
    </row>
    <row r="2" spans="1:54" ht="150" x14ac:dyDescent="0.25">
      <c r="A2" s="110" t="s">
        <v>214</v>
      </c>
      <c r="B2" s="20" t="s">
        <v>97</v>
      </c>
      <c r="C2" s="20" t="s">
        <v>98</v>
      </c>
      <c r="D2" s="20" t="s">
        <v>99</v>
      </c>
      <c r="E2" s="20" t="s">
        <v>100</v>
      </c>
      <c r="F2" s="20" t="s">
        <v>101</v>
      </c>
      <c r="G2" s="20" t="s">
        <v>102</v>
      </c>
      <c r="H2" s="20" t="s">
        <v>103</v>
      </c>
      <c r="I2" s="20" t="s">
        <v>104</v>
      </c>
      <c r="J2" s="20" t="s">
        <v>105</v>
      </c>
      <c r="K2" s="20" t="s">
        <v>106</v>
      </c>
      <c r="L2" s="21" t="s">
        <v>107</v>
      </c>
      <c r="M2" s="22" t="s">
        <v>108</v>
      </c>
      <c r="N2" s="22" t="s">
        <v>109</v>
      </c>
      <c r="O2" s="22" t="s">
        <v>110</v>
      </c>
      <c r="P2" s="22" t="s">
        <v>100</v>
      </c>
      <c r="Q2" s="22" t="s">
        <v>104</v>
      </c>
      <c r="R2" s="22" t="s">
        <v>111</v>
      </c>
      <c r="S2" s="22" t="s">
        <v>112</v>
      </c>
      <c r="T2" s="23" t="s">
        <v>113</v>
      </c>
      <c r="U2" s="24" t="s">
        <v>114</v>
      </c>
      <c r="V2" s="24" t="s">
        <v>115</v>
      </c>
      <c r="W2" s="24" t="s">
        <v>116</v>
      </c>
      <c r="X2" s="24" t="s">
        <v>117</v>
      </c>
      <c r="Y2" s="24" t="s">
        <v>118</v>
      </c>
      <c r="Z2" s="24" t="s">
        <v>119</v>
      </c>
      <c r="AA2" s="24" t="s">
        <v>120</v>
      </c>
      <c r="AB2" s="24" t="s">
        <v>121</v>
      </c>
      <c r="AC2" s="24" t="s">
        <v>122</v>
      </c>
      <c r="AD2" s="24" t="s">
        <v>123</v>
      </c>
      <c r="AE2" s="25" t="s">
        <v>124</v>
      </c>
      <c r="AF2" s="25" t="s">
        <v>125</v>
      </c>
      <c r="AG2" s="25" t="s">
        <v>126</v>
      </c>
      <c r="AH2" s="25" t="s">
        <v>127</v>
      </c>
      <c r="AI2" s="25" t="s">
        <v>128</v>
      </c>
      <c r="AJ2" s="25" t="s">
        <v>129</v>
      </c>
      <c r="AK2" s="25" t="s">
        <v>130</v>
      </c>
      <c r="AL2" s="25" t="s">
        <v>131</v>
      </c>
      <c r="AM2" s="25" t="s">
        <v>132</v>
      </c>
      <c r="AN2" s="25" t="s">
        <v>133</v>
      </c>
      <c r="AO2" s="25" t="s">
        <v>159</v>
      </c>
      <c r="AP2" s="26" t="s">
        <v>134</v>
      </c>
      <c r="AQ2" s="27">
        <v>2020</v>
      </c>
      <c r="AR2" s="27">
        <v>2021</v>
      </c>
      <c r="AS2" s="27">
        <v>2022</v>
      </c>
      <c r="AT2" s="27">
        <v>2023</v>
      </c>
      <c r="AU2" s="27">
        <v>2024</v>
      </c>
      <c r="AV2" s="27">
        <v>2025</v>
      </c>
      <c r="AW2" s="27">
        <v>2026</v>
      </c>
      <c r="AX2" s="27">
        <v>2027</v>
      </c>
      <c r="AY2" s="27">
        <v>2028</v>
      </c>
      <c r="AZ2" s="27">
        <v>2029</v>
      </c>
      <c r="BA2" s="28" t="s">
        <v>135</v>
      </c>
      <c r="BB2" s="33" t="s">
        <v>136</v>
      </c>
    </row>
    <row r="3" spans="1:54" s="92" customFormat="1" x14ac:dyDescent="0.25">
      <c r="A3" s="91" t="s">
        <v>215</v>
      </c>
      <c r="B3" s="98">
        <f>'Base Year Summary (slides 9)'!E24</f>
        <v>2276.167165870927</v>
      </c>
      <c r="C3" s="99">
        <f>'Base Year Summary (slides 9)'!E25</f>
        <v>827.20611757389588</v>
      </c>
      <c r="D3" s="98">
        <f>'Base Year Summary (slides 9)'!E26</f>
        <v>1446.3623255112811</v>
      </c>
      <c r="E3" s="98">
        <f>'Base Year Summary (slides 9)'!E14</f>
        <v>789080955.26661813</v>
      </c>
      <c r="F3" s="98">
        <f>'Base Year Summary (slides 9)'!E4</f>
        <v>28378831</v>
      </c>
      <c r="G3" s="98">
        <f>'Base Year Summary (slides 9)'!E5</f>
        <v>15651184.998999996</v>
      </c>
      <c r="H3" s="98">
        <f>'Base Year Summary (slides 9)'!E6</f>
        <v>860469.77339999995</v>
      </c>
      <c r="I3" s="98">
        <f>'Base Year Summary (slides 9)'!E7</f>
        <v>1310917.1880000525</v>
      </c>
      <c r="J3" s="98">
        <f>SUM('eGRID methodology 2012 ADEQ'!H9:H42)</f>
        <v>5588.4</v>
      </c>
      <c r="K3" s="98">
        <v>0</v>
      </c>
      <c r="L3" s="100">
        <f t="shared" ref="L3:L4" si="0">B3*0.94</f>
        <v>2139.597135918671</v>
      </c>
      <c r="M3" s="101">
        <f t="shared" ref="M3:M4" si="1">F3-(O3-G3)*F3/(F3+H3)</f>
        <v>10218692.588886868</v>
      </c>
      <c r="N3" s="101">
        <f t="shared" ref="N3:N4" si="2">H3-(O3-G3)*H3/(F3+H3)</f>
        <v>309839.26351313561</v>
      </c>
      <c r="O3" s="101">
        <f>(0.7*J3+0.15*K3)*8784</f>
        <v>34361953.919999994</v>
      </c>
      <c r="P3" s="101">
        <f t="shared" ref="P3" si="3">E3+0.55*8784*C3*K3</f>
        <v>789080955.26661813</v>
      </c>
      <c r="Q3" s="101">
        <f>I3+8784*0.55*K3</f>
        <v>1310917.1880000525</v>
      </c>
      <c r="R3" s="102">
        <f>G3/(J3*8784)</f>
        <v>0.31883604537759647</v>
      </c>
      <c r="S3" s="102">
        <f t="shared" ref="S3" si="4">(O3-0.15*K3*8784)/(J3*8784)</f>
        <v>0.7</v>
      </c>
      <c r="T3" s="103">
        <v>842037.12970128562</v>
      </c>
      <c r="U3" s="104">
        <v>2288229.0213397061</v>
      </c>
      <c r="V3" s="104">
        <v>2479266.0746687674</v>
      </c>
      <c r="W3" s="104">
        <v>2686252.2115048999</v>
      </c>
      <c r="X3" s="104">
        <v>2910518.9707317012</v>
      </c>
      <c r="Y3" s="104">
        <v>3153509.0572316013</v>
      </c>
      <c r="Z3" s="104">
        <v>3416785.6227859175</v>
      </c>
      <c r="AA3" s="104">
        <v>3702042.3218080997</v>
      </c>
      <c r="AB3" s="104">
        <v>4011114.2065985613</v>
      </c>
      <c r="AC3" s="104">
        <v>4345989.5322101079</v>
      </c>
      <c r="AD3" s="104">
        <v>4708822.5468645049</v>
      </c>
      <c r="AE3" s="105">
        <v>1.5237756645043206E-2</v>
      </c>
      <c r="AF3" s="105">
        <v>2.3140612618675501E-2</v>
      </c>
      <c r="AG3" s="105">
        <v>3.238611909352046E-2</v>
      </c>
      <c r="AH3" s="105">
        <v>4.2820567914841033E-2</v>
      </c>
      <c r="AI3" s="105">
        <v>5.4211349179579087E-2</v>
      </c>
      <c r="AJ3" s="105">
        <v>6.4613667196547861E-2</v>
      </c>
      <c r="AK3" s="105">
        <v>7.4065695082287622E-2</v>
      </c>
      <c r="AL3" s="105">
        <v>8.2603816043337275E-2</v>
      </c>
      <c r="AM3" s="105">
        <v>9.0262702598758432E-2</v>
      </c>
      <c r="AN3" s="105">
        <v>9.7075392238470892E-2</v>
      </c>
      <c r="AO3" s="106">
        <v>1.1398795462238362</v>
      </c>
      <c r="AP3" s="107">
        <v>50378721.481700003</v>
      </c>
      <c r="AQ3" s="108">
        <f t="shared" ref="AQ3:AZ4" si="5">(($L3*$M3)+($C3*$O3)+($D3*$N3)+$P3)/($F3+$G3+$H3+$I3+$T3+U3+(AE3*$AP3))</f>
        <v>1028.4673854181146</v>
      </c>
      <c r="AR3" s="108">
        <f t="shared" si="5"/>
        <v>1016.5130952778493</v>
      </c>
      <c r="AS3" s="108">
        <f t="shared" si="5"/>
        <v>1003.1981516162568</v>
      </c>
      <c r="AT3" s="108">
        <f t="shared" si="5"/>
        <v>988.76096134357795</v>
      </c>
      <c r="AU3" s="108">
        <f t="shared" si="5"/>
        <v>973.50132890303678</v>
      </c>
      <c r="AV3" s="108">
        <f t="shared" si="5"/>
        <v>959.23225364710822</v>
      </c>
      <c r="AW3" s="108">
        <f t="shared" si="5"/>
        <v>945.82479499875478</v>
      </c>
      <c r="AX3" s="108">
        <f t="shared" si="5"/>
        <v>933.1624471006977</v>
      </c>
      <c r="AY3" s="108">
        <f t="shared" si="5"/>
        <v>921.13906227594066</v>
      </c>
      <c r="AZ3" s="108">
        <f t="shared" si="5"/>
        <v>909.65714279142549</v>
      </c>
      <c r="BA3" s="108">
        <f t="shared" ref="BA3:BA4" si="6">AVERAGE(AQ3:AZ3)</f>
        <v>967.94566233727619</v>
      </c>
      <c r="BB3" s="109">
        <f t="shared" ref="BB3:BB4" si="7">AZ3</f>
        <v>909.65714279142549</v>
      </c>
    </row>
    <row r="4" spans="1:54" s="92" customFormat="1" x14ac:dyDescent="0.25">
      <c r="A4" s="91" t="s">
        <v>216</v>
      </c>
      <c r="B4" s="98">
        <f>(SUM('Prime-mover Specific 2012 ADEQ'!L2:L8)*2000)/SUM('Prime-mover Specific 2012 ADEQ'!K2:K8)</f>
        <v>2276.167165870927</v>
      </c>
      <c r="C4" s="98">
        <f>2000*SUM('Prime-mover Specific 2012 ADEQ'!L9:L42)/SUM('Prime-mover Specific 2012 ADEQ'!K9:K42)</f>
        <v>863.92260406269691</v>
      </c>
      <c r="D4" s="98">
        <f>2000*SUM('Prime-mover Specific 2012 ADEQ'!L43:L55)/SUM('Prime-mover Specific 2012 ADEQ'!K43:K55)</f>
        <v>1446.2022769773218</v>
      </c>
      <c r="E4" s="98">
        <f>('Prime-mover Specific 2012 ADEQ'!L27*2000)*(0.75*'Prime-mover Specific 2012 ADEQ'!J27/3.412)/'Prime-mover Specific 2012 ADEQ'!K27</f>
        <v>810895696.86759198</v>
      </c>
      <c r="F4" s="98">
        <f>SUM('Prime-mover Specific 2012 ADEQ'!H2:H8)</f>
        <v>28378831</v>
      </c>
      <c r="G4" s="98">
        <f>SUM('Prime-mover Specific 2012 ADEQ'!H9:H42)</f>
        <v>15651184.999</v>
      </c>
      <c r="H4" s="98">
        <f>SUM('Prime-mover Specific 2012 ADEQ'!H43:H55)</f>
        <v>860565</v>
      </c>
      <c r="I4" s="98">
        <f>0.75*'Prime-mover Specific 2012 ADEQ'!J27/3.412</f>
        <v>1108853.4662471083</v>
      </c>
      <c r="J4" s="98">
        <f>J3</f>
        <v>5588.4</v>
      </c>
      <c r="K4" s="98">
        <v>0</v>
      </c>
      <c r="L4" s="100">
        <f t="shared" si="0"/>
        <v>2139.597135918671</v>
      </c>
      <c r="M4" s="101">
        <f t="shared" si="1"/>
        <v>10218751.732661124</v>
      </c>
      <c r="N4" s="101">
        <f t="shared" si="2"/>
        <v>309875.3463388792</v>
      </c>
      <c r="O4" s="101">
        <f>(0.7*J4+0.15*K4)*8784</f>
        <v>34361953.919999994</v>
      </c>
      <c r="P4" s="101">
        <f>E4+0.55*8784*C4*K4</f>
        <v>810895696.86759198</v>
      </c>
      <c r="Q4" s="101">
        <f>I4+8784*0.55*K4</f>
        <v>1108853.4662471083</v>
      </c>
      <c r="R4" s="102">
        <f>G4/(J4*8784)</f>
        <v>0.31883604537759652</v>
      </c>
      <c r="S4" s="102">
        <f>(O4-0.15*K4*8784)/(J4*8784)</f>
        <v>0.7</v>
      </c>
      <c r="T4" s="103">
        <v>842037.12970128562</v>
      </c>
      <c r="U4" s="104">
        <v>2288229.0213397061</v>
      </c>
      <c r="V4" s="104">
        <v>2479266.0746687674</v>
      </c>
      <c r="W4" s="104">
        <v>2686252.2115048999</v>
      </c>
      <c r="X4" s="104">
        <v>2910518.9707317012</v>
      </c>
      <c r="Y4" s="104">
        <v>3153509.0572316013</v>
      </c>
      <c r="Z4" s="104">
        <v>3416785.6227859175</v>
      </c>
      <c r="AA4" s="104">
        <v>3702042.3218080997</v>
      </c>
      <c r="AB4" s="104">
        <v>4011114.2065985613</v>
      </c>
      <c r="AC4" s="104">
        <v>4345989.5322101079</v>
      </c>
      <c r="AD4" s="104">
        <v>4708822.5468645049</v>
      </c>
      <c r="AE4" s="105">
        <v>1.5237756645043206E-2</v>
      </c>
      <c r="AF4" s="105">
        <v>2.3140612618675501E-2</v>
      </c>
      <c r="AG4" s="105">
        <v>3.238611909352046E-2</v>
      </c>
      <c r="AH4" s="105">
        <v>4.2820567914841033E-2</v>
      </c>
      <c r="AI4" s="105">
        <v>5.4211349179579087E-2</v>
      </c>
      <c r="AJ4" s="105">
        <v>6.4613667196547861E-2</v>
      </c>
      <c r="AK4" s="105">
        <v>7.4065695082287622E-2</v>
      </c>
      <c r="AL4" s="105">
        <v>8.2603816043337275E-2</v>
      </c>
      <c r="AM4" s="105">
        <v>9.0262702598758432E-2</v>
      </c>
      <c r="AN4" s="105">
        <v>9.7075392238470892E-2</v>
      </c>
      <c r="AO4" s="106">
        <v>1.1398795462238362</v>
      </c>
      <c r="AP4" s="107">
        <v>50378723.481700003</v>
      </c>
      <c r="AQ4" s="108">
        <f t="shared" si="5"/>
        <v>1058.3549805617188</v>
      </c>
      <c r="AR4" s="108">
        <f t="shared" si="5"/>
        <v>1046.0040823676372</v>
      </c>
      <c r="AS4" s="108">
        <f t="shared" si="5"/>
        <v>1032.2487561615562</v>
      </c>
      <c r="AT4" s="108">
        <f t="shared" si="5"/>
        <v>1017.3356945849575</v>
      </c>
      <c r="AU4" s="108">
        <f t="shared" si="5"/>
        <v>1001.5749238060896</v>
      </c>
      <c r="AV4" s="108">
        <f t="shared" si="5"/>
        <v>986.83895318676082</v>
      </c>
      <c r="AW4" s="108">
        <f t="shared" si="5"/>
        <v>972.99429968100469</v>
      </c>
      <c r="AX4" s="108">
        <f t="shared" si="5"/>
        <v>959.92039480995538</v>
      </c>
      <c r="AY4" s="108">
        <f t="shared" si="5"/>
        <v>947.50742646867286</v>
      </c>
      <c r="AZ4" s="108">
        <f t="shared" si="5"/>
        <v>935.65456421590466</v>
      </c>
      <c r="BA4" s="108">
        <f t="shared" si="6"/>
        <v>995.8434075844259</v>
      </c>
      <c r="BB4" s="109">
        <f t="shared" si="7"/>
        <v>935.65456421590466</v>
      </c>
    </row>
    <row r="6" spans="1:54" x14ac:dyDescent="0.25">
      <c r="B6" s="89"/>
      <c r="C6" s="89"/>
      <c r="D6" s="89"/>
      <c r="E6" s="89"/>
      <c r="F6" s="89"/>
      <c r="G6" s="89"/>
      <c r="H6" s="89"/>
      <c r="I6" s="88"/>
      <c r="J6" s="87"/>
      <c r="K6" s="87"/>
      <c r="L6" s="90"/>
      <c r="M6" s="87"/>
      <c r="N6" s="87"/>
      <c r="O6" s="87"/>
    </row>
    <row r="9" spans="1:54" ht="45" x14ac:dyDescent="0.25">
      <c r="A9" s="73"/>
      <c r="B9" s="93" t="s">
        <v>218</v>
      </c>
      <c r="C9" s="93" t="s">
        <v>217</v>
      </c>
    </row>
    <row r="10" spans="1:54" x14ac:dyDescent="0.25">
      <c r="A10" s="94" t="s">
        <v>220</v>
      </c>
      <c r="B10" s="95">
        <f>SUM('eGRID methodology 2012 ADEQ'!M9:M42)</f>
        <v>7015577.3479999993</v>
      </c>
      <c r="C10" s="96">
        <f>SUM('Prime-mover Specific 2012 ADEQ'!L9:L42)</f>
        <v>7239688.0375436246</v>
      </c>
    </row>
    <row r="11" spans="1:54" x14ac:dyDescent="0.25">
      <c r="A11" s="94" t="s">
        <v>221</v>
      </c>
      <c r="B11" s="95">
        <f>C3</f>
        <v>827.20611757389588</v>
      </c>
      <c r="C11" s="96">
        <f>C4</f>
        <v>863.92260406269691</v>
      </c>
    </row>
    <row r="12" spans="1:54" x14ac:dyDescent="0.25">
      <c r="A12" s="94" t="s">
        <v>219</v>
      </c>
      <c r="B12" s="95">
        <f>I3</f>
        <v>1310917.1880000525</v>
      </c>
      <c r="C12" s="96">
        <f>I4</f>
        <v>1108853.4662471083</v>
      </c>
    </row>
    <row r="13" spans="1:54" x14ac:dyDescent="0.25">
      <c r="A13" s="94" t="s">
        <v>222</v>
      </c>
      <c r="B13" s="95">
        <f>E3</f>
        <v>789080955.26661813</v>
      </c>
      <c r="C13" s="96">
        <f>E4</f>
        <v>810895696.86759198</v>
      </c>
    </row>
    <row r="14" spans="1:54" x14ac:dyDescent="0.25">
      <c r="A14" s="94" t="s">
        <v>223</v>
      </c>
      <c r="B14" s="95">
        <f>BB3</f>
        <v>909.65714279142549</v>
      </c>
      <c r="C14" s="96">
        <f>BB4</f>
        <v>935.65456421590466</v>
      </c>
    </row>
  </sheetData>
  <mergeCells count="5">
    <mergeCell ref="B1:K1"/>
    <mergeCell ref="M1:S1"/>
    <mergeCell ref="U1:AD1"/>
    <mergeCell ref="AE1:AP1"/>
    <mergeCell ref="AQ1:B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workbookViewId="0">
      <selection activeCell="A13" sqref="A13"/>
    </sheetView>
  </sheetViews>
  <sheetFormatPr defaultRowHeight="15" x14ac:dyDescent="0.25"/>
  <cols>
    <col min="1" max="1" width="32.42578125" customWidth="1"/>
    <col min="2" max="2" width="11.42578125" customWidth="1"/>
    <col min="5" max="5" width="11.140625" bestFit="1" customWidth="1"/>
    <col min="6" max="7" width="10.140625" bestFit="1" customWidth="1"/>
    <col min="13" max="13" width="10.140625" bestFit="1" customWidth="1"/>
    <col min="15" max="15" width="10.140625" bestFit="1" customWidth="1"/>
    <col min="16" max="16" width="11.140625" bestFit="1" customWidth="1"/>
    <col min="42" max="42" width="10.140625" bestFit="1" customWidth="1"/>
    <col min="54" max="54" width="11" customWidth="1"/>
  </cols>
  <sheetData>
    <row r="1" spans="1:54" ht="30" x14ac:dyDescent="0.25">
      <c r="A1" s="29"/>
      <c r="B1" s="243" t="s">
        <v>165</v>
      </c>
      <c r="C1" s="243"/>
      <c r="D1" s="243"/>
      <c r="E1" s="243"/>
      <c r="F1" s="243"/>
      <c r="G1" s="243"/>
      <c r="H1" s="243"/>
      <c r="I1" s="243"/>
      <c r="J1" s="243"/>
      <c r="K1" s="243"/>
      <c r="L1" s="30" t="s">
        <v>94</v>
      </c>
      <c r="M1" s="244" t="s">
        <v>95</v>
      </c>
      <c r="N1" s="244"/>
      <c r="O1" s="244"/>
      <c r="P1" s="244"/>
      <c r="Q1" s="244"/>
      <c r="R1" s="244"/>
      <c r="S1" s="244"/>
      <c r="T1" s="31" t="s">
        <v>162</v>
      </c>
      <c r="U1" s="245" t="s">
        <v>163</v>
      </c>
      <c r="V1" s="245"/>
      <c r="W1" s="245"/>
      <c r="X1" s="245"/>
      <c r="Y1" s="245"/>
      <c r="Z1" s="245"/>
      <c r="AA1" s="245"/>
      <c r="AB1" s="245"/>
      <c r="AC1" s="245"/>
      <c r="AD1" s="245"/>
      <c r="AE1" s="246" t="s">
        <v>164</v>
      </c>
      <c r="AF1" s="246"/>
      <c r="AG1" s="246"/>
      <c r="AH1" s="246"/>
      <c r="AI1" s="246"/>
      <c r="AJ1" s="246"/>
      <c r="AK1" s="246"/>
      <c r="AL1" s="246"/>
      <c r="AM1" s="246"/>
      <c r="AN1" s="246"/>
      <c r="AO1" s="246"/>
      <c r="AP1" s="246"/>
      <c r="AQ1" s="247" t="s">
        <v>96</v>
      </c>
      <c r="AR1" s="247"/>
      <c r="AS1" s="247"/>
      <c r="AT1" s="247"/>
      <c r="AU1" s="247"/>
      <c r="AV1" s="247"/>
      <c r="AW1" s="247"/>
      <c r="AX1" s="247"/>
      <c r="AY1" s="247"/>
      <c r="AZ1" s="247"/>
      <c r="BA1" s="247"/>
      <c r="BB1" s="248"/>
    </row>
    <row r="2" spans="1:54" ht="150" x14ac:dyDescent="0.25">
      <c r="A2" s="32" t="s">
        <v>214</v>
      </c>
      <c r="B2" s="20" t="s">
        <v>97</v>
      </c>
      <c r="C2" s="20" t="s">
        <v>98</v>
      </c>
      <c r="D2" s="20" t="s">
        <v>99</v>
      </c>
      <c r="E2" s="20" t="s">
        <v>100</v>
      </c>
      <c r="F2" s="20" t="s">
        <v>101</v>
      </c>
      <c r="G2" s="20" t="s">
        <v>102</v>
      </c>
      <c r="H2" s="20" t="s">
        <v>103</v>
      </c>
      <c r="I2" s="20" t="s">
        <v>104</v>
      </c>
      <c r="J2" s="20" t="s">
        <v>105</v>
      </c>
      <c r="K2" s="20" t="s">
        <v>106</v>
      </c>
      <c r="L2" s="21" t="s">
        <v>107</v>
      </c>
      <c r="M2" s="22" t="s">
        <v>108</v>
      </c>
      <c r="N2" s="22" t="s">
        <v>109</v>
      </c>
      <c r="O2" s="22" t="s">
        <v>110</v>
      </c>
      <c r="P2" s="22" t="s">
        <v>100</v>
      </c>
      <c r="Q2" s="22" t="s">
        <v>104</v>
      </c>
      <c r="R2" s="22" t="s">
        <v>111</v>
      </c>
      <c r="S2" s="22" t="s">
        <v>112</v>
      </c>
      <c r="T2" s="23" t="s">
        <v>113</v>
      </c>
      <c r="U2" s="24" t="s">
        <v>114</v>
      </c>
      <c r="V2" s="24" t="s">
        <v>115</v>
      </c>
      <c r="W2" s="24" t="s">
        <v>116</v>
      </c>
      <c r="X2" s="24" t="s">
        <v>117</v>
      </c>
      <c r="Y2" s="24" t="s">
        <v>118</v>
      </c>
      <c r="Z2" s="24" t="s">
        <v>119</v>
      </c>
      <c r="AA2" s="24" t="s">
        <v>120</v>
      </c>
      <c r="AB2" s="24" t="s">
        <v>121</v>
      </c>
      <c r="AC2" s="24" t="s">
        <v>122</v>
      </c>
      <c r="AD2" s="24" t="s">
        <v>123</v>
      </c>
      <c r="AE2" s="25" t="s">
        <v>124</v>
      </c>
      <c r="AF2" s="25" t="s">
        <v>125</v>
      </c>
      <c r="AG2" s="25" t="s">
        <v>126</v>
      </c>
      <c r="AH2" s="25" t="s">
        <v>127</v>
      </c>
      <c r="AI2" s="25" t="s">
        <v>128</v>
      </c>
      <c r="AJ2" s="25" t="s">
        <v>129</v>
      </c>
      <c r="AK2" s="25" t="s">
        <v>130</v>
      </c>
      <c r="AL2" s="25" t="s">
        <v>131</v>
      </c>
      <c r="AM2" s="25" t="s">
        <v>132</v>
      </c>
      <c r="AN2" s="25" t="s">
        <v>133</v>
      </c>
      <c r="AO2" s="25" t="s">
        <v>159</v>
      </c>
      <c r="AP2" s="26" t="s">
        <v>134</v>
      </c>
      <c r="AQ2" s="27">
        <v>2020</v>
      </c>
      <c r="AR2" s="27">
        <v>2021</v>
      </c>
      <c r="AS2" s="27">
        <v>2022</v>
      </c>
      <c r="AT2" s="27">
        <v>2023</v>
      </c>
      <c r="AU2" s="27">
        <v>2024</v>
      </c>
      <c r="AV2" s="27">
        <v>2025</v>
      </c>
      <c r="AW2" s="27">
        <v>2026</v>
      </c>
      <c r="AX2" s="27">
        <v>2027</v>
      </c>
      <c r="AY2" s="27">
        <v>2028</v>
      </c>
      <c r="AZ2" s="27">
        <v>2029</v>
      </c>
      <c r="BA2" s="28" t="s">
        <v>135</v>
      </c>
      <c r="BB2" s="33" t="s">
        <v>136</v>
      </c>
    </row>
    <row r="3" spans="1:54" x14ac:dyDescent="0.25">
      <c r="A3" s="91" t="s">
        <v>224</v>
      </c>
      <c r="B3" s="98">
        <f>'Base Year Summary (slides 9)'!E24</f>
        <v>2276.167165870927</v>
      </c>
      <c r="C3" s="99">
        <f>'Base Year Summary (slides 9)'!E25</f>
        <v>827.20611757389588</v>
      </c>
      <c r="D3" s="98">
        <f>'Base Year Summary (slides 9)'!E26</f>
        <v>1446.3623255112811</v>
      </c>
      <c r="E3" s="98">
        <f>'Base Year Summary (slides 9)'!E14</f>
        <v>789080955.26661813</v>
      </c>
      <c r="F3" s="98">
        <f>'Base Year Summary (slides 9)'!E4</f>
        <v>28378831</v>
      </c>
      <c r="G3" s="98">
        <f>'Base Year Summary (slides 9)'!E5</f>
        <v>15651184.998999996</v>
      </c>
      <c r="H3" s="98">
        <f>'Base Year Summary (slides 9)'!E6</f>
        <v>860469.77339999995</v>
      </c>
      <c r="I3" s="98">
        <f>'Base Year Summary (slides 9)'!E7</f>
        <v>1310917.1880000525</v>
      </c>
      <c r="J3" s="98">
        <f>SUM('eGRID methodology 2012 ADEQ'!H9:H42)</f>
        <v>5588.4</v>
      </c>
      <c r="K3" s="98">
        <v>0</v>
      </c>
      <c r="L3" s="100">
        <f t="shared" ref="L3" si="0">B3*0.94</f>
        <v>2139.597135918671</v>
      </c>
      <c r="M3" s="101">
        <f t="shared" ref="M3" si="1">F3-(O3-G3)*F3/(F3+H3)</f>
        <v>10218692.588886868</v>
      </c>
      <c r="N3" s="101">
        <f t="shared" ref="N3" si="2">H3-(O3-G3)*H3/(F3+H3)</f>
        <v>309839.26351313561</v>
      </c>
      <c r="O3" s="101">
        <f>(0.7*J3+0.15*K3)*8784</f>
        <v>34361953.919999994</v>
      </c>
      <c r="P3" s="101">
        <f t="shared" ref="P3" si="3">E3+0.55*8784*C3*K3</f>
        <v>789080955.26661813</v>
      </c>
      <c r="Q3" s="101">
        <f>I3+8784*0.55*K3</f>
        <v>1310917.1880000525</v>
      </c>
      <c r="R3" s="102">
        <f>G3/(J3*8784)</f>
        <v>0.31883604537759647</v>
      </c>
      <c r="S3" s="102">
        <f t="shared" ref="S3" si="4">(O3-0.15*K3*8784)/(J3*8784)</f>
        <v>0.7</v>
      </c>
      <c r="T3" s="103">
        <v>842037.12970128562</v>
      </c>
      <c r="U3" s="104">
        <v>2288229.0213397061</v>
      </c>
      <c r="V3" s="104">
        <v>2479266.0746687674</v>
      </c>
      <c r="W3" s="104">
        <v>2686252.2115048999</v>
      </c>
      <c r="X3" s="104">
        <v>2910518.9707317012</v>
      </c>
      <c r="Y3" s="104">
        <v>3153509.0572316013</v>
      </c>
      <c r="Z3" s="104">
        <v>3416785.6227859175</v>
      </c>
      <c r="AA3" s="104">
        <v>3702042.3218080997</v>
      </c>
      <c r="AB3" s="104">
        <v>4011114.2065985613</v>
      </c>
      <c r="AC3" s="104">
        <v>4345989.5322101079</v>
      </c>
      <c r="AD3" s="104">
        <v>4708822.5468645049</v>
      </c>
      <c r="AE3" s="105">
        <v>1.5237756645043206E-2</v>
      </c>
      <c r="AF3" s="105">
        <v>2.3140612618675501E-2</v>
      </c>
      <c r="AG3" s="105">
        <v>3.238611909352046E-2</v>
      </c>
      <c r="AH3" s="105">
        <v>4.2820567914841033E-2</v>
      </c>
      <c r="AI3" s="105">
        <v>5.4211349179579087E-2</v>
      </c>
      <c r="AJ3" s="105">
        <v>6.4613667196547861E-2</v>
      </c>
      <c r="AK3" s="105">
        <v>7.4065695082287622E-2</v>
      </c>
      <c r="AL3" s="105">
        <v>8.2603816043337275E-2</v>
      </c>
      <c r="AM3" s="105">
        <v>9.0262702598758432E-2</v>
      </c>
      <c r="AN3" s="105">
        <v>9.7075392238470892E-2</v>
      </c>
      <c r="AO3" s="106">
        <v>1.1398795462238362</v>
      </c>
      <c r="AP3" s="107">
        <v>50378721.481700003</v>
      </c>
      <c r="AQ3" s="108">
        <f t="shared" ref="AQ3:AZ3" si="5">(($L3*$M3)+($C3*$O3)+($D3*$N3)+$P3)/($F3+$G3+$H3+$I3+$T3+U3+(AE3*$AP3))</f>
        <v>1028.4673854181146</v>
      </c>
      <c r="AR3" s="108">
        <f t="shared" si="5"/>
        <v>1016.5130952778493</v>
      </c>
      <c r="AS3" s="108">
        <f t="shared" si="5"/>
        <v>1003.1981516162568</v>
      </c>
      <c r="AT3" s="108">
        <f t="shared" si="5"/>
        <v>988.76096134357795</v>
      </c>
      <c r="AU3" s="108">
        <f t="shared" si="5"/>
        <v>973.50132890303678</v>
      </c>
      <c r="AV3" s="108">
        <f t="shared" si="5"/>
        <v>959.23225364710822</v>
      </c>
      <c r="AW3" s="108">
        <f t="shared" si="5"/>
        <v>945.82479499875478</v>
      </c>
      <c r="AX3" s="108">
        <f t="shared" si="5"/>
        <v>933.1624471006977</v>
      </c>
      <c r="AY3" s="108">
        <f t="shared" si="5"/>
        <v>921.13906227594066</v>
      </c>
      <c r="AZ3" s="108">
        <f t="shared" si="5"/>
        <v>909.65714279142549</v>
      </c>
      <c r="BA3" s="108">
        <f t="shared" ref="BA3" si="6">AVERAGE(AQ3:AZ3)</f>
        <v>967.94566233727619</v>
      </c>
      <c r="BB3" s="109">
        <f t="shared" ref="BB3" si="7">AZ3</f>
        <v>909.65714279142549</v>
      </c>
    </row>
    <row r="4" spans="1:54" x14ac:dyDescent="0.25">
      <c r="A4" s="97" t="s">
        <v>225</v>
      </c>
      <c r="B4" s="111">
        <f>B3</f>
        <v>2276.167165870927</v>
      </c>
      <c r="C4" s="111">
        <f>SUM('eGRID methodology 2012 ADEQ'!M9:M42)*2000/SUM('eGRID methodology 2012 ADEQ'!I9:I42)</f>
        <v>896.4915242453842</v>
      </c>
      <c r="D4" s="111">
        <f t="shared" ref="D4:AP4" si="8">D3</f>
        <v>1446.3623255112811</v>
      </c>
      <c r="E4" s="111"/>
      <c r="F4" s="111">
        <f t="shared" si="8"/>
        <v>28378831</v>
      </c>
      <c r="G4" s="111">
        <f t="shared" si="8"/>
        <v>15651184.998999996</v>
      </c>
      <c r="H4" s="111">
        <f t="shared" si="8"/>
        <v>860469.77339999995</v>
      </c>
      <c r="I4" s="111"/>
      <c r="J4" s="111">
        <f t="shared" si="8"/>
        <v>5588.4</v>
      </c>
      <c r="K4" s="111">
        <f t="shared" si="8"/>
        <v>0</v>
      </c>
      <c r="L4" s="112">
        <f t="shared" si="8"/>
        <v>2139.597135918671</v>
      </c>
      <c r="M4" s="113">
        <f t="shared" si="8"/>
        <v>10218692.588886868</v>
      </c>
      <c r="N4" s="113">
        <f t="shared" si="8"/>
        <v>309839.26351313561</v>
      </c>
      <c r="O4" s="113">
        <f t="shared" si="8"/>
        <v>34361953.919999994</v>
      </c>
      <c r="P4" s="113"/>
      <c r="Q4" s="113"/>
      <c r="R4" s="102">
        <f t="shared" si="8"/>
        <v>0.31883604537759647</v>
      </c>
      <c r="S4" s="102">
        <f t="shared" si="8"/>
        <v>0.7</v>
      </c>
      <c r="T4" s="114">
        <f t="shared" si="8"/>
        <v>842037.12970128562</v>
      </c>
      <c r="U4" s="115">
        <f t="shared" si="8"/>
        <v>2288229.0213397061</v>
      </c>
      <c r="V4" s="115">
        <f t="shared" si="8"/>
        <v>2479266.0746687674</v>
      </c>
      <c r="W4" s="115">
        <f t="shared" si="8"/>
        <v>2686252.2115048999</v>
      </c>
      <c r="X4" s="115">
        <f t="shared" si="8"/>
        <v>2910518.9707317012</v>
      </c>
      <c r="Y4" s="115">
        <f t="shared" si="8"/>
        <v>3153509.0572316013</v>
      </c>
      <c r="Z4" s="115">
        <f t="shared" si="8"/>
        <v>3416785.6227859175</v>
      </c>
      <c r="AA4" s="115">
        <f t="shared" si="8"/>
        <v>3702042.3218080997</v>
      </c>
      <c r="AB4" s="115">
        <f t="shared" si="8"/>
        <v>4011114.2065985613</v>
      </c>
      <c r="AC4" s="115">
        <f t="shared" si="8"/>
        <v>4345989.5322101079</v>
      </c>
      <c r="AD4" s="115">
        <f t="shared" si="8"/>
        <v>4708822.5468645049</v>
      </c>
      <c r="AE4" s="105">
        <f t="shared" si="8"/>
        <v>1.5237756645043206E-2</v>
      </c>
      <c r="AF4" s="105">
        <f t="shared" si="8"/>
        <v>2.3140612618675501E-2</v>
      </c>
      <c r="AG4" s="105">
        <f t="shared" si="8"/>
        <v>3.238611909352046E-2</v>
      </c>
      <c r="AH4" s="105">
        <f t="shared" si="8"/>
        <v>4.2820567914841033E-2</v>
      </c>
      <c r="AI4" s="105">
        <f t="shared" si="8"/>
        <v>5.4211349179579087E-2</v>
      </c>
      <c r="AJ4" s="105">
        <f t="shared" si="8"/>
        <v>6.4613667196547861E-2</v>
      </c>
      <c r="AK4" s="105">
        <f t="shared" si="8"/>
        <v>7.4065695082287622E-2</v>
      </c>
      <c r="AL4" s="105">
        <f t="shared" si="8"/>
        <v>8.2603816043337275E-2</v>
      </c>
      <c r="AM4" s="105">
        <f t="shared" si="8"/>
        <v>9.0262702598758432E-2</v>
      </c>
      <c r="AN4" s="105">
        <f t="shared" si="8"/>
        <v>9.7075392238470892E-2</v>
      </c>
      <c r="AO4" s="105">
        <f t="shared" si="8"/>
        <v>1.1398795462238362</v>
      </c>
      <c r="AP4" s="116">
        <f t="shared" si="8"/>
        <v>50378721.481700003</v>
      </c>
      <c r="AQ4" s="108">
        <f t="shared" ref="AQ4" si="9">(($L4*$M4)+($C4*$O4)+($D4*$N4)+$P4)/($F4+$G4+$H4+$I4+$T4+U4+(AE4*$AP4))</f>
        <v>1088.7262979651857</v>
      </c>
      <c r="AR4" s="108">
        <f t="shared" ref="AR4" si="10">(($L4*$M4)+($C4*$O4)+($D4*$N4)+$P4)/($F4+$G4+$H4+$I4+$T4+V4+(AF4*$AP4))</f>
        <v>1075.7356266358513</v>
      </c>
      <c r="AS4" s="108">
        <f t="shared" ref="AS4" si="11">(($L4*$M4)+($C4*$O4)+($D4*$N4)+$P4)/($F4+$G4+$H4+$I4+$T4+W4+(AG4*$AP4))</f>
        <v>1061.2758854552621</v>
      </c>
      <c r="AT4" s="108">
        <f t="shared" ref="AT4" si="12">(($L4*$M4)+($C4*$O4)+($D4*$N4)+$P4)/($F4+$G4+$H4+$I4+$T4+X4+(AH4*$AP4))</f>
        <v>1045.6087645059886</v>
      </c>
      <c r="AU4" s="108">
        <f t="shared" ref="AU4" si="13">(($L4*$M4)+($C4*$O4)+($D4*$N4)+$P4)/($F4+$G4+$H4+$I4+$T4+Y4+(AI4*$AP4))</f>
        <v>1029.0619654073832</v>
      </c>
      <c r="AV4" s="108">
        <f t="shared" ref="AV4" si="14">(($L4*$M4)+($C4*$O4)+($D4*$N4)+$P4)/($F4+$G4+$H4+$I4+$T4+Z4+(AJ4*$AP4))</f>
        <v>1013.6011930558566</v>
      </c>
      <c r="AW4" s="108">
        <f t="shared" ref="AW4" si="15">(($L4*$M4)+($C4*$O4)+($D4*$N4)+$P4)/($F4+$G4+$H4+$I4+$T4+AA4+(AK4*$AP4))</f>
        <v>999.08447768088399</v>
      </c>
      <c r="AX4" s="108">
        <f t="shared" ref="AX4" si="16">(($L4*$M4)+($C4*$O4)+($D4*$N4)+$P4)/($F4+$G4+$H4+$I4+$T4+AB4+(AL4*$AP4))</f>
        <v>985.3838338262957</v>
      </c>
      <c r="AY4" s="108">
        <f t="shared" ref="AY4" si="17">(($L4*$M4)+($C4*$O4)+($D4*$N4)+$P4)/($F4+$G4+$H4+$I4+$T4+AC4+(AM4*$AP4))</f>
        <v>972.38291382883506</v>
      </c>
      <c r="AZ4" s="108">
        <f t="shared" ref="AZ4" si="18">(($L4*$M4)+($C4*$O4)+($D4*$N4)+$P4)/($F4+$G4+$H4+$I4+$T4+AD4+(AN4*$AP4))</f>
        <v>959.97508246822906</v>
      </c>
      <c r="BA4" s="108">
        <f t="shared" ref="BA4" si="19">AVERAGE(AQ4:AZ4)</f>
        <v>1023.0836040829772</v>
      </c>
      <c r="BB4" s="108">
        <f t="shared" ref="BB4" si="20">AZ4</f>
        <v>959.97508246822906</v>
      </c>
    </row>
    <row r="9" spans="1:54" ht="30" x14ac:dyDescent="0.25">
      <c r="A9" s="73"/>
      <c r="B9" s="93" t="s">
        <v>226</v>
      </c>
      <c r="C9" s="93" t="s">
        <v>227</v>
      </c>
    </row>
    <row r="10" spans="1:54" x14ac:dyDescent="0.25">
      <c r="A10" s="94" t="s">
        <v>221</v>
      </c>
      <c r="B10" s="95">
        <f>C3</f>
        <v>827.20611757389588</v>
      </c>
      <c r="C10" s="96">
        <f>C4</f>
        <v>896.4915242453842</v>
      </c>
    </row>
    <row r="11" spans="1:54" x14ac:dyDescent="0.25">
      <c r="A11" s="94" t="s">
        <v>219</v>
      </c>
      <c r="B11" s="95">
        <f>I3</f>
        <v>1310917.1880000525</v>
      </c>
      <c r="C11" s="96">
        <f>I4</f>
        <v>0</v>
      </c>
    </row>
    <row r="12" spans="1:54" x14ac:dyDescent="0.25">
      <c r="A12" s="94" t="s">
        <v>222</v>
      </c>
      <c r="B12" s="95">
        <f>E3</f>
        <v>789080955.26661813</v>
      </c>
      <c r="C12" s="96">
        <f>E4</f>
        <v>0</v>
      </c>
    </row>
    <row r="13" spans="1:54" x14ac:dyDescent="0.25">
      <c r="A13" s="94" t="s">
        <v>223</v>
      </c>
      <c r="B13" s="95">
        <f>BB3</f>
        <v>909.65714279142549</v>
      </c>
      <c r="C13" s="96">
        <f>BB4</f>
        <v>959.97508246822906</v>
      </c>
    </row>
  </sheetData>
  <mergeCells count="5">
    <mergeCell ref="B1:K1"/>
    <mergeCell ref="M1:S1"/>
    <mergeCell ref="U1:AD1"/>
    <mergeCell ref="AE1:AP1"/>
    <mergeCell ref="AQ1:B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B1" workbookViewId="0">
      <selection activeCell="E4" sqref="E4"/>
    </sheetView>
  </sheetViews>
  <sheetFormatPr defaultRowHeight="12.75" x14ac:dyDescent="0.2"/>
  <cols>
    <col min="1" max="1" width="9.140625" style="1"/>
    <col min="2" max="2" width="12" style="1" customWidth="1"/>
    <col min="3" max="3" width="12.28515625" style="1" customWidth="1"/>
    <col min="4" max="6" width="12.42578125" style="1" bestFit="1" customWidth="1"/>
    <col min="7" max="16384" width="9.140625" style="1"/>
  </cols>
  <sheetData>
    <row r="1" spans="1:6" ht="15.75" thickBot="1" x14ac:dyDescent="0.3">
      <c r="A1" s="152" t="s">
        <v>160</v>
      </c>
      <c r="B1" s="152"/>
      <c r="C1" s="152"/>
      <c r="D1" s="152"/>
      <c r="E1" s="152"/>
      <c r="F1" s="152"/>
    </row>
    <row r="2" spans="1:6" ht="15" x14ac:dyDescent="0.25">
      <c r="A2" s="153"/>
      <c r="B2" s="249" t="s">
        <v>149</v>
      </c>
      <c r="C2" s="249"/>
      <c r="D2" s="249"/>
      <c r="E2" s="249"/>
      <c r="F2" s="250"/>
    </row>
    <row r="3" spans="1:6" ht="15" x14ac:dyDescent="0.25">
      <c r="A3" s="154"/>
      <c r="B3" s="155">
        <v>2009</v>
      </c>
      <c r="C3" s="155">
        <v>2010</v>
      </c>
      <c r="D3" s="155">
        <v>2011</v>
      </c>
      <c r="E3" s="156">
        <v>2012</v>
      </c>
      <c r="F3" s="157">
        <v>2013</v>
      </c>
    </row>
    <row r="4" spans="1:6" ht="15" x14ac:dyDescent="0.25">
      <c r="A4" s="154" t="s">
        <v>141</v>
      </c>
      <c r="B4" s="158">
        <f>SUM('eGrid Methodology 2009 ADEQ'!I2:I6)</f>
        <v>25021209</v>
      </c>
      <c r="C4" s="158">
        <f>SUM('eGRID Methodology 2010 ADEQ'!I2:I7)</f>
        <v>28072484</v>
      </c>
      <c r="D4" s="158">
        <f>SUM('eGRID methodology 2011 ADEQ'!I2:I7)</f>
        <v>29363619</v>
      </c>
      <c r="E4" s="158">
        <f>SUM('eGRID methodology 2012 ADEQ'!I2:I8)</f>
        <v>28378831</v>
      </c>
      <c r="F4" s="159">
        <f>SUM('eGRID Methodology 2013 ADEQ'!H2:H8)</f>
        <v>31859866</v>
      </c>
    </row>
    <row r="5" spans="1:6" ht="15" x14ac:dyDescent="0.25">
      <c r="A5" s="154" t="s">
        <v>27</v>
      </c>
      <c r="B5" s="158">
        <f>SUM('eGrid Methodology 2009 ADEQ'!I7:I40)</f>
        <v>10603900.000000002</v>
      </c>
      <c r="C5" s="158">
        <f>SUM('eGRID Methodology 2010 ADEQ'!I8:I41)</f>
        <v>11438365</v>
      </c>
      <c r="D5" s="158">
        <f>SUM('eGRID methodology 2011 ADEQ'!I8:I41)</f>
        <v>11688163</v>
      </c>
      <c r="E5" s="158">
        <f>SUM('eGRID methodology 2012 ADEQ'!I9:I42)</f>
        <v>15651184.998999996</v>
      </c>
      <c r="F5" s="159">
        <f>SUM('eGRID Methodology 2013 ADEQ'!H9:H42)</f>
        <v>11094670.997000001</v>
      </c>
    </row>
    <row r="6" spans="1:6" ht="15" x14ac:dyDescent="0.25">
      <c r="A6" s="154" t="s">
        <v>70</v>
      </c>
      <c r="B6" s="158">
        <f>SUM('eGrid Methodology 2009 ADEQ'!I41:I54)</f>
        <v>355809</v>
      </c>
      <c r="C6" s="158">
        <f>SUM('eGRID Methodology 2010 ADEQ'!I42:I55)</f>
        <v>507363</v>
      </c>
      <c r="D6" s="158">
        <f>SUM('eGRID methodology 2011 ADEQ'!I42:I54)</f>
        <v>537714</v>
      </c>
      <c r="E6" s="158">
        <f>SUM('eGRID methodology 2012 ADEQ'!I43:I55)</f>
        <v>860469.77339999995</v>
      </c>
      <c r="F6" s="159">
        <f>SUM('eGRID Methodology 2013 ADEQ'!H43:H55)</f>
        <v>704937</v>
      </c>
    </row>
    <row r="7" spans="1:6" ht="15.75" thickBot="1" x14ac:dyDescent="0.3">
      <c r="A7" s="160" t="s">
        <v>150</v>
      </c>
      <c r="B7" s="161">
        <f>0.75*SUM('eGrid Methodology 2009 ADEQ'!K25:K26)/3.412</f>
        <v>1184864.9050822249</v>
      </c>
      <c r="C7" s="161">
        <f>0.75*SUM('eGRID Methodology 2010 ADEQ'!K26:K27)/3.412</f>
        <v>1043597.4854693174</v>
      </c>
      <c r="D7" s="161">
        <v>1253855.1194932628</v>
      </c>
      <c r="E7" s="161">
        <f>0.75*SUM('eGRID methodology 2012 ADEQ'!K27:K28)/3.412</f>
        <v>1310917.1880000525</v>
      </c>
      <c r="F7" s="162">
        <f>0.75*SUM('eGRID Methodology 2013 ADEQ'!J27:J28)/3.412</f>
        <v>1332141.4645848281</v>
      </c>
    </row>
    <row r="8" spans="1:6" ht="15.75" thickBot="1" x14ac:dyDescent="0.3">
      <c r="A8" s="163"/>
      <c r="B8" s="164"/>
      <c r="C8" s="164"/>
      <c r="D8" s="164"/>
      <c r="E8" s="164"/>
      <c r="F8" s="164"/>
    </row>
    <row r="9" spans="1:6" ht="15" x14ac:dyDescent="0.25">
      <c r="A9" s="153"/>
      <c r="B9" s="249" t="s">
        <v>151</v>
      </c>
      <c r="C9" s="249"/>
      <c r="D9" s="249"/>
      <c r="E9" s="249"/>
      <c r="F9" s="250"/>
    </row>
    <row r="10" spans="1:6" ht="15" x14ac:dyDescent="0.25">
      <c r="A10" s="154"/>
      <c r="B10" s="155">
        <v>2009</v>
      </c>
      <c r="C10" s="155">
        <v>2010</v>
      </c>
      <c r="D10" s="155">
        <v>2011</v>
      </c>
      <c r="E10" s="156">
        <v>2012</v>
      </c>
      <c r="F10" s="157">
        <v>2013</v>
      </c>
    </row>
    <row r="11" spans="1:6" ht="15" x14ac:dyDescent="0.25">
      <c r="A11" s="154" t="s">
        <v>141</v>
      </c>
      <c r="B11" s="158">
        <f>SUM('eGrid Methodology 2009 ADEQ'!M2:M6)</f>
        <v>26842684.828000002</v>
      </c>
      <c r="C11" s="158">
        <f>SUM('eGRID Methodology 2010 ADEQ'!M2:M7)</f>
        <v>30299771.349000003</v>
      </c>
      <c r="D11" s="158">
        <f>SUM('eGRID methodology 2011 ADEQ'!M2:M7)</f>
        <v>32354805.612</v>
      </c>
      <c r="E11" s="158">
        <f>SUM('eGRID methodology 2012 ADEQ'!M2:M8)</f>
        <v>32297481.664000001</v>
      </c>
      <c r="F11" s="159">
        <f>SUM('eGRID Methodology 2013 ADEQ'!L2:L8)</f>
        <v>34826362.647</v>
      </c>
    </row>
    <row r="12" spans="1:6" ht="15" x14ac:dyDescent="0.25">
      <c r="A12" s="154" t="s">
        <v>27</v>
      </c>
      <c r="B12" s="158">
        <f>SUM('eGrid Methodology 2009 ADEQ'!M7:M40)</f>
        <v>4958408.9080000008</v>
      </c>
      <c r="C12" s="158">
        <f>SUM('eGRID Methodology 2010 ADEQ'!M8:M41)</f>
        <v>5357070.8009117348</v>
      </c>
      <c r="D12" s="158">
        <f>SUM('eGRID methodology 2011 ADEQ'!M8:M41)</f>
        <v>5410482.3123300839</v>
      </c>
      <c r="E12" s="158">
        <f>SUM('eGRID methodology 2012 ADEQ'!M9:M42)</f>
        <v>7015577.3479999993</v>
      </c>
      <c r="F12" s="159">
        <f>SUM('eGRID Methodology 2013 ADEQ'!L9:L42)</f>
        <v>5136759.5199999986</v>
      </c>
    </row>
    <row r="13" spans="1:6" ht="15" x14ac:dyDescent="0.25">
      <c r="A13" s="154" t="s">
        <v>70</v>
      </c>
      <c r="B13" s="158">
        <f>SUM('eGrid Methodology 2009 ADEQ'!M41:M54)</f>
        <v>265572.57549590035</v>
      </c>
      <c r="C13" s="158">
        <f>SUM('eGRID Methodology 2010 ADEQ'!M42:M55)</f>
        <v>394420.87363449257</v>
      </c>
      <c r="D13" s="158">
        <f>SUM('eGRID methodology 2011 ADEQ'!M42:M54)</f>
        <v>404573.43199999997</v>
      </c>
      <c r="E13" s="158">
        <f>SUM('eGRID methodology 2012 ADEQ'!M43:M55)</f>
        <v>622275.53124349448</v>
      </c>
      <c r="F13" s="159">
        <f>SUM('eGRID Methodology 2013 ADEQ'!L43:L55)</f>
        <v>511276.14400000003</v>
      </c>
    </row>
    <row r="14" spans="1:6" ht="15.75" thickBot="1" x14ac:dyDescent="0.3">
      <c r="A14" s="160" t="s">
        <v>152</v>
      </c>
      <c r="B14" s="161">
        <f>SUM('eGrid Methodology 2009 ADEQ'!M25:M26)*2000*(0.75*SUM('eGrid Methodology 2009 ADEQ'!K25:K26)/3.412)/SUM('eGrid Methodology 2009 ADEQ'!L25:L26)</f>
        <v>697669326.1798203</v>
      </c>
      <c r="C14" s="161">
        <f>SUM('eGRID Methodology 2010 ADEQ'!M26:M27)*2000*(0.75*SUM('eGRID Methodology 2010 ADEQ'!K26:K27)/3.412)/SUM('eGRID Methodology 2010 ADEQ'!L26:L27)</f>
        <v>647442538.05411947</v>
      </c>
      <c r="D14" s="161">
        <f>SUM('eGRID methodology 2011 ADEQ'!M26:M27)*2000*(0.75*SUM('eGRID methodology 2011 ADEQ'!K26:K27)/3.412)/SUM('eGRID methodology 2011 ADEQ'!L26:L27)</f>
        <v>769499300.54024684</v>
      </c>
      <c r="E14" s="161">
        <f>SUM('eGRID methodology 2012 ADEQ'!M27:M28)*2000*(0.75*SUM('eGRID methodology 2012 ADEQ'!K27:K28)/3.412)/SUM('eGRID methodology 2012 ADEQ'!L27:L28)</f>
        <v>789080955.26661813</v>
      </c>
      <c r="F14" s="162">
        <f>SUM('eGRID Methodology 2013 ADEQ'!L27:L28)*2000*(0.75*SUM('eGRID Methodology 2013 ADEQ'!J27:J28)/3.412)/SUM('eGRID Methodology 2013 ADEQ'!K27:K28)</f>
        <v>801046664.01380289</v>
      </c>
    </row>
    <row r="15" spans="1:6" ht="15.75" thickBot="1" x14ac:dyDescent="0.3">
      <c r="A15" s="163"/>
      <c r="B15" s="164"/>
      <c r="C15" s="164"/>
      <c r="D15" s="164"/>
      <c r="E15" s="164"/>
      <c r="F15" s="164"/>
    </row>
    <row r="16" spans="1:6" ht="15" x14ac:dyDescent="0.25">
      <c r="A16" s="153"/>
      <c r="B16" s="249" t="s">
        <v>153</v>
      </c>
      <c r="C16" s="249"/>
      <c r="D16" s="249"/>
      <c r="E16" s="249"/>
      <c r="F16" s="250"/>
    </row>
    <row r="17" spans="1:6" ht="15" x14ac:dyDescent="0.25">
      <c r="A17" s="154"/>
      <c r="B17" s="155">
        <v>2009</v>
      </c>
      <c r="C17" s="155">
        <v>2010</v>
      </c>
      <c r="D17" s="155">
        <v>2011</v>
      </c>
      <c r="E17" s="156">
        <v>2012</v>
      </c>
      <c r="F17" s="157">
        <v>2013</v>
      </c>
    </row>
    <row r="18" spans="1:6" ht="15" x14ac:dyDescent="0.25">
      <c r="A18" s="154" t="s">
        <v>141</v>
      </c>
      <c r="B18" s="158">
        <f>SUM('eGrid Methodology 2009 ADEQ'!L2:L6)</f>
        <v>25021209</v>
      </c>
      <c r="C18" s="158">
        <f>SUM('eGRID Methodology 2010 ADEQ'!L2:L7)</f>
        <v>28072484</v>
      </c>
      <c r="D18" s="158">
        <f>SUM('eGRID methodology 2011 ADEQ'!L2:L7)</f>
        <v>29363619</v>
      </c>
      <c r="E18" s="158">
        <f>SUM('eGRID methodology 2012 ADEQ'!L2:L8)</f>
        <v>28378831</v>
      </c>
      <c r="F18" s="159">
        <f>SUM('eGRID Methodology 2013 ADEQ'!K2:K8)</f>
        <v>31859866</v>
      </c>
    </row>
    <row r="19" spans="1:6" ht="15" x14ac:dyDescent="0.25">
      <c r="A19" s="154" t="s">
        <v>27</v>
      </c>
      <c r="B19" s="158">
        <f>SUM('eGrid Methodology 2009 ADEQ'!L7:L40)</f>
        <v>11788764.905082231</v>
      </c>
      <c r="C19" s="158">
        <f>SUM('eGRID Methodology 2010 ADEQ'!L8:L41)</f>
        <v>12481962.485469321</v>
      </c>
      <c r="D19" s="158">
        <f>SUM('eGRID methodology 2011 ADEQ'!L8:L41)</f>
        <v>12942018.119493265</v>
      </c>
      <c r="E19" s="158">
        <f>SUM('eGRID methodology 2012 ADEQ'!L9:L42)</f>
        <v>16962102.187000047</v>
      </c>
      <c r="F19" s="159">
        <f>SUM('eGRID Methodology 2013 ADEQ'!K9:K42)</f>
        <v>12426812.461584825</v>
      </c>
    </row>
    <row r="20" spans="1:6" ht="15.75" thickBot="1" x14ac:dyDescent="0.3">
      <c r="A20" s="165" t="s">
        <v>70</v>
      </c>
      <c r="B20" s="161">
        <f>SUM('eGrid Methodology 2009 ADEQ'!L41:L54)</f>
        <v>355809</v>
      </c>
      <c r="C20" s="161">
        <f>SUM('eGRID Methodology 2010 ADEQ'!L42:L55)</f>
        <v>507363</v>
      </c>
      <c r="D20" s="161">
        <f>SUM('eGRID methodology 2011 ADEQ'!L42:L54)</f>
        <v>537714</v>
      </c>
      <c r="E20" s="161">
        <f>SUM('eGRID methodology 2012 ADEQ'!L43:L55)</f>
        <v>860469.77339999995</v>
      </c>
      <c r="F20" s="162">
        <f>SUM('eGRID Methodology 2013 ADEQ'!K43:K55)</f>
        <v>704937</v>
      </c>
    </row>
    <row r="21" spans="1:6" ht="15.75" thickBot="1" x14ac:dyDescent="0.3">
      <c r="A21" s="164"/>
      <c r="B21" s="164"/>
      <c r="C21" s="164"/>
      <c r="D21" s="164"/>
      <c r="E21" s="164"/>
      <c r="F21" s="164"/>
    </row>
    <row r="22" spans="1:6" ht="15" x14ac:dyDescent="0.25">
      <c r="A22" s="153"/>
      <c r="B22" s="249" t="s">
        <v>154</v>
      </c>
      <c r="C22" s="249"/>
      <c r="D22" s="249"/>
      <c r="E22" s="249"/>
      <c r="F22" s="250"/>
    </row>
    <row r="23" spans="1:6" ht="15" x14ac:dyDescent="0.25">
      <c r="A23" s="154"/>
      <c r="B23" s="166">
        <v>2009</v>
      </c>
      <c r="C23" s="166">
        <v>2010</v>
      </c>
      <c r="D23" s="166">
        <v>2011</v>
      </c>
      <c r="E23" s="166">
        <v>2012</v>
      </c>
      <c r="F23" s="167">
        <v>2013</v>
      </c>
    </row>
    <row r="24" spans="1:6" ht="15" x14ac:dyDescent="0.25">
      <c r="A24" s="154" t="s">
        <v>141</v>
      </c>
      <c r="B24" s="158">
        <f>(B11*2000)/B18</f>
        <v>2145.5945496478607</v>
      </c>
      <c r="C24" s="158">
        <f t="shared" ref="C24:F24" si="0">(C11*2000)/C18</f>
        <v>2158.6811732798569</v>
      </c>
      <c r="D24" s="158">
        <f t="shared" si="0"/>
        <v>2203.7341931183619</v>
      </c>
      <c r="E24" s="158">
        <f t="shared" si="0"/>
        <v>2276.167165870927</v>
      </c>
      <c r="F24" s="158">
        <f t="shared" si="0"/>
        <v>2186.2215394754016</v>
      </c>
    </row>
    <row r="25" spans="1:6" ht="15" x14ac:dyDescent="0.25">
      <c r="A25" s="154" t="s">
        <v>27</v>
      </c>
      <c r="B25" s="158">
        <f t="shared" ref="B25:F26" si="1">(B12*2000)/B19</f>
        <v>841.20922724693423</v>
      </c>
      <c r="C25" s="158">
        <f t="shared" si="1"/>
        <v>858.36995699163231</v>
      </c>
      <c r="D25" s="158">
        <f t="shared" si="1"/>
        <v>836.11107052629086</v>
      </c>
      <c r="E25" s="158">
        <f t="shared" si="1"/>
        <v>827.20611757389588</v>
      </c>
      <c r="F25" s="158">
        <f t="shared" si="1"/>
        <v>826.72198295087071</v>
      </c>
    </row>
    <row r="26" spans="1:6" ht="15.75" thickBot="1" x14ac:dyDescent="0.3">
      <c r="A26" s="165" t="s">
        <v>70</v>
      </c>
      <c r="B26" s="158">
        <f t="shared" si="1"/>
        <v>1492.7816637347587</v>
      </c>
      <c r="C26" s="158">
        <f t="shared" si="1"/>
        <v>1554.7876910002999</v>
      </c>
      <c r="D26" s="158">
        <f t="shared" si="1"/>
        <v>1504.7903978694994</v>
      </c>
      <c r="E26" s="158">
        <f t="shared" si="1"/>
        <v>1446.3623255112811</v>
      </c>
      <c r="F26" s="158">
        <f t="shared" si="1"/>
        <v>1450.5584016727737</v>
      </c>
    </row>
    <row r="27" spans="1:6" ht="15.75" thickBot="1" x14ac:dyDescent="0.3">
      <c r="A27" s="164"/>
      <c r="B27" s="164"/>
      <c r="C27" s="164"/>
      <c r="D27" s="164"/>
      <c r="E27" s="164"/>
      <c r="F27" s="164"/>
    </row>
    <row r="28" spans="1:6" ht="15" x14ac:dyDescent="0.25">
      <c r="A28" s="153"/>
      <c r="B28" s="251" t="s">
        <v>144</v>
      </c>
      <c r="C28" s="252"/>
      <c r="D28" s="253"/>
      <c r="E28" s="164"/>
      <c r="F28" s="164"/>
    </row>
    <row r="29" spans="1:6" ht="45" x14ac:dyDescent="0.25">
      <c r="A29" s="154"/>
      <c r="B29" s="168" t="s">
        <v>155</v>
      </c>
      <c r="C29" s="169" t="s">
        <v>156</v>
      </c>
      <c r="D29" s="170" t="s">
        <v>157</v>
      </c>
      <c r="E29" s="164"/>
      <c r="F29" s="164"/>
    </row>
    <row r="30" spans="1:6" ht="15" x14ac:dyDescent="0.25">
      <c r="A30" s="154" t="s">
        <v>141</v>
      </c>
      <c r="B30" s="158">
        <f>AVERAGE(B4:E4)</f>
        <v>27709035.75</v>
      </c>
      <c r="C30" s="159">
        <f>SUM(B11:E11)*2000/SUM(B18:E18)</f>
        <v>2197.7441682177628</v>
      </c>
      <c r="D30" s="159">
        <f>AVERAGE(B11:F11)</f>
        <v>31324221.220000006</v>
      </c>
      <c r="E30" s="164"/>
      <c r="F30" s="164"/>
    </row>
    <row r="31" spans="1:6" ht="15" x14ac:dyDescent="0.25">
      <c r="A31" s="154" t="s">
        <v>27</v>
      </c>
      <c r="B31" s="158">
        <f t="shared" ref="B31:B32" si="2">AVERAGE(B5:E5)</f>
        <v>12345403.249749999</v>
      </c>
      <c r="C31" s="159">
        <f t="shared" ref="C31:C32" si="3">SUM(B12:E12)*2000/SUM(B19:E19)</f>
        <v>839.56080491140267</v>
      </c>
      <c r="D31" s="159">
        <f t="shared" ref="D31:D33" si="4">AVERAGE(B12:F12)</f>
        <v>5575659.7778483639</v>
      </c>
      <c r="E31" s="164"/>
      <c r="F31" s="164"/>
    </row>
    <row r="32" spans="1:6" ht="15" x14ac:dyDescent="0.25">
      <c r="A32" s="154" t="s">
        <v>70</v>
      </c>
      <c r="B32" s="158">
        <f t="shared" si="2"/>
        <v>565338.94334999996</v>
      </c>
      <c r="C32" s="159">
        <f t="shared" si="3"/>
        <v>1491.8859139423969</v>
      </c>
      <c r="D32" s="159">
        <f t="shared" si="4"/>
        <v>439623.71127477742</v>
      </c>
      <c r="E32" s="164"/>
      <c r="F32" s="164"/>
    </row>
    <row r="33" spans="1:6" ht="15.75" thickBot="1" x14ac:dyDescent="0.3">
      <c r="A33" s="160" t="s">
        <v>158</v>
      </c>
      <c r="B33" s="161">
        <f>AVERAGE(B7:E7)</f>
        <v>1198308.6745112145</v>
      </c>
      <c r="C33" s="171"/>
      <c r="D33" s="162">
        <f t="shared" si="4"/>
        <v>740947756.81092155</v>
      </c>
      <c r="E33" s="164"/>
      <c r="F33" s="164"/>
    </row>
    <row r="34" spans="1:6" x14ac:dyDescent="0.2">
      <c r="A34" s="47"/>
      <c r="B34" s="47"/>
      <c r="C34" s="47"/>
      <c r="D34" s="47"/>
      <c r="E34" s="47"/>
      <c r="F34" s="47"/>
    </row>
  </sheetData>
  <mergeCells count="5">
    <mergeCell ref="B22:F22"/>
    <mergeCell ref="B28:D28"/>
    <mergeCell ref="B2:F2"/>
    <mergeCell ref="B9:F9"/>
    <mergeCell ref="B16:F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1"/>
  <sheetViews>
    <sheetView zoomScaleNormal="100" workbookViewId="0">
      <selection activeCell="A17" sqref="A17"/>
    </sheetView>
  </sheetViews>
  <sheetFormatPr defaultRowHeight="15" x14ac:dyDescent="0.25"/>
  <cols>
    <col min="1" max="1" width="10.5703125" style="8" customWidth="1"/>
    <col min="2" max="2" width="13.7109375" style="7" customWidth="1"/>
    <col min="3" max="3" width="11.5703125" style="7" customWidth="1"/>
    <col min="4" max="4" width="10.28515625" style="7" customWidth="1"/>
    <col min="5" max="5" width="13.5703125" style="7" customWidth="1"/>
    <col min="6" max="6" width="11.85546875" style="7" customWidth="1"/>
    <col min="7" max="7" width="10.85546875" style="7" customWidth="1"/>
    <col min="8" max="8" width="9.28515625" style="7" customWidth="1"/>
    <col min="9" max="9" width="10.28515625" style="7" customWidth="1"/>
    <col min="10" max="10" width="9" style="7" customWidth="1"/>
    <col min="11" max="11" width="12.140625" style="7" customWidth="1"/>
    <col min="12" max="12" width="11.42578125" style="7" customWidth="1"/>
    <col min="13" max="13" width="14.42578125" style="7" customWidth="1"/>
    <col min="14" max="14" width="13.140625" style="7" customWidth="1"/>
    <col min="15" max="15" width="13" style="7" customWidth="1"/>
    <col min="16" max="16" width="13.7109375" style="7" customWidth="1"/>
    <col min="17" max="17" width="10.7109375" style="7" customWidth="1"/>
    <col min="18" max="18" width="10" style="7" customWidth="1"/>
    <col min="19" max="19" width="12.85546875" style="7" customWidth="1"/>
    <col min="20" max="20" width="20.42578125" style="7" customWidth="1"/>
    <col min="21" max="21" width="14.42578125" style="7" bestFit="1" customWidth="1"/>
    <col min="22" max="22" width="14" style="7" bestFit="1" customWidth="1"/>
    <col min="23" max="30" width="14.42578125" style="7" bestFit="1" customWidth="1"/>
    <col min="31" max="41" width="9.140625" style="7"/>
    <col min="42" max="42" width="14.7109375" style="7" bestFit="1" customWidth="1"/>
    <col min="43" max="43" width="7.28515625" style="7" customWidth="1"/>
    <col min="44" max="44" width="6.42578125" style="7" customWidth="1"/>
    <col min="45" max="45" width="5.85546875" style="7" customWidth="1"/>
    <col min="46" max="46" width="6" style="7" customWidth="1"/>
    <col min="47" max="47" width="6.28515625" style="7" bestFit="1" customWidth="1"/>
    <col min="48" max="48" width="7.140625" style="7" customWidth="1"/>
    <col min="49" max="52" width="6.28515625" style="7" bestFit="1" customWidth="1"/>
    <col min="53" max="53" width="9.28515625" style="7" bestFit="1" customWidth="1"/>
    <col min="54" max="54" width="10.5703125" style="7" customWidth="1"/>
    <col min="55" max="16384" width="9.140625" style="7"/>
  </cols>
  <sheetData>
    <row r="1" spans="1:54" s="5" customFormat="1" x14ac:dyDescent="0.25">
      <c r="A1" s="29"/>
      <c r="B1" s="243" t="s">
        <v>165</v>
      </c>
      <c r="C1" s="243"/>
      <c r="D1" s="243"/>
      <c r="E1" s="243"/>
      <c r="F1" s="243"/>
      <c r="G1" s="243"/>
      <c r="H1" s="243"/>
      <c r="I1" s="243"/>
      <c r="J1" s="243"/>
      <c r="K1" s="243"/>
      <c r="L1" s="30" t="s">
        <v>94</v>
      </c>
      <c r="M1" s="244" t="s">
        <v>95</v>
      </c>
      <c r="N1" s="244"/>
      <c r="O1" s="244"/>
      <c r="P1" s="244"/>
      <c r="Q1" s="244"/>
      <c r="R1" s="244"/>
      <c r="S1" s="244"/>
      <c r="T1" s="31" t="s">
        <v>162</v>
      </c>
      <c r="U1" s="245" t="s">
        <v>163</v>
      </c>
      <c r="V1" s="245"/>
      <c r="W1" s="245"/>
      <c r="X1" s="245"/>
      <c r="Y1" s="245"/>
      <c r="Z1" s="245"/>
      <c r="AA1" s="245"/>
      <c r="AB1" s="245"/>
      <c r="AC1" s="245"/>
      <c r="AD1" s="245"/>
      <c r="AE1" s="246" t="s">
        <v>164</v>
      </c>
      <c r="AF1" s="246"/>
      <c r="AG1" s="246"/>
      <c r="AH1" s="246"/>
      <c r="AI1" s="246"/>
      <c r="AJ1" s="246"/>
      <c r="AK1" s="246"/>
      <c r="AL1" s="246"/>
      <c r="AM1" s="246"/>
      <c r="AN1" s="246"/>
      <c r="AO1" s="246"/>
      <c r="AP1" s="246"/>
      <c r="AQ1" s="247" t="s">
        <v>96</v>
      </c>
      <c r="AR1" s="247"/>
      <c r="AS1" s="247"/>
      <c r="AT1" s="247"/>
      <c r="AU1" s="247"/>
      <c r="AV1" s="247"/>
      <c r="AW1" s="247"/>
      <c r="AX1" s="247"/>
      <c r="AY1" s="247"/>
      <c r="AZ1" s="247"/>
      <c r="BA1" s="247"/>
      <c r="BB1" s="248"/>
    </row>
    <row r="2" spans="1:54" s="6" customFormat="1" ht="105" x14ac:dyDescent="0.25">
      <c r="A2" s="32" t="s">
        <v>146</v>
      </c>
      <c r="B2" s="20" t="s">
        <v>97</v>
      </c>
      <c r="C2" s="20" t="s">
        <v>98</v>
      </c>
      <c r="D2" s="20" t="s">
        <v>99</v>
      </c>
      <c r="E2" s="20" t="s">
        <v>100</v>
      </c>
      <c r="F2" s="20" t="s">
        <v>101</v>
      </c>
      <c r="G2" s="20" t="s">
        <v>102</v>
      </c>
      <c r="H2" s="20" t="s">
        <v>103</v>
      </c>
      <c r="I2" s="20" t="s">
        <v>104</v>
      </c>
      <c r="J2" s="20" t="s">
        <v>105</v>
      </c>
      <c r="K2" s="20" t="s">
        <v>106</v>
      </c>
      <c r="L2" s="21" t="s">
        <v>107</v>
      </c>
      <c r="M2" s="22" t="s">
        <v>108</v>
      </c>
      <c r="N2" s="22" t="s">
        <v>109</v>
      </c>
      <c r="O2" s="22" t="s">
        <v>110</v>
      </c>
      <c r="P2" s="22" t="s">
        <v>100</v>
      </c>
      <c r="Q2" s="22" t="s">
        <v>104</v>
      </c>
      <c r="R2" s="22" t="s">
        <v>111</v>
      </c>
      <c r="S2" s="22" t="s">
        <v>112</v>
      </c>
      <c r="T2" s="23" t="s">
        <v>113</v>
      </c>
      <c r="U2" s="24" t="s">
        <v>114</v>
      </c>
      <c r="V2" s="24" t="s">
        <v>115</v>
      </c>
      <c r="W2" s="24" t="s">
        <v>116</v>
      </c>
      <c r="X2" s="24" t="s">
        <v>117</v>
      </c>
      <c r="Y2" s="24" t="s">
        <v>118</v>
      </c>
      <c r="Z2" s="24" t="s">
        <v>119</v>
      </c>
      <c r="AA2" s="24" t="s">
        <v>120</v>
      </c>
      <c r="AB2" s="24" t="s">
        <v>121</v>
      </c>
      <c r="AC2" s="24" t="s">
        <v>122</v>
      </c>
      <c r="AD2" s="24" t="s">
        <v>123</v>
      </c>
      <c r="AE2" s="25" t="s">
        <v>124</v>
      </c>
      <c r="AF2" s="25" t="s">
        <v>125</v>
      </c>
      <c r="AG2" s="25" t="s">
        <v>126</v>
      </c>
      <c r="AH2" s="25" t="s">
        <v>127</v>
      </c>
      <c r="AI2" s="25" t="s">
        <v>128</v>
      </c>
      <c r="AJ2" s="25" t="s">
        <v>129</v>
      </c>
      <c r="AK2" s="25" t="s">
        <v>130</v>
      </c>
      <c r="AL2" s="25" t="s">
        <v>131</v>
      </c>
      <c r="AM2" s="25" t="s">
        <v>132</v>
      </c>
      <c r="AN2" s="25" t="s">
        <v>133</v>
      </c>
      <c r="AO2" s="25" t="s">
        <v>159</v>
      </c>
      <c r="AP2" s="26" t="s">
        <v>134</v>
      </c>
      <c r="AQ2" s="27">
        <v>2020</v>
      </c>
      <c r="AR2" s="27">
        <v>2021</v>
      </c>
      <c r="AS2" s="27">
        <v>2022</v>
      </c>
      <c r="AT2" s="27">
        <v>2023</v>
      </c>
      <c r="AU2" s="27">
        <v>2024</v>
      </c>
      <c r="AV2" s="27">
        <v>2025</v>
      </c>
      <c r="AW2" s="27">
        <v>2026</v>
      </c>
      <c r="AX2" s="27">
        <v>2027</v>
      </c>
      <c r="AY2" s="27">
        <v>2028</v>
      </c>
      <c r="AZ2" s="27">
        <v>2029</v>
      </c>
      <c r="BA2" s="28" t="s">
        <v>135</v>
      </c>
      <c r="BB2" s="33" t="s">
        <v>136</v>
      </c>
    </row>
    <row r="3" spans="1:54" ht="58.5" customHeight="1" x14ac:dyDescent="0.25">
      <c r="A3" s="40">
        <v>2012</v>
      </c>
      <c r="B3" s="117">
        <f>'Base Year Summary (slides 9)'!E24</f>
        <v>2276.167165870927</v>
      </c>
      <c r="C3" s="118">
        <f>'Base Year Summary (slides 9)'!E25</f>
        <v>827.20611757389588</v>
      </c>
      <c r="D3" s="117">
        <f>'Base Year Summary (slides 9)'!E26</f>
        <v>1446.3623255112811</v>
      </c>
      <c r="E3" s="117">
        <f>'Base Year Summary (slides 9)'!E14</f>
        <v>789080955.26661813</v>
      </c>
      <c r="F3" s="117">
        <f>'Base Year Summary (slides 9)'!E4</f>
        <v>28378831</v>
      </c>
      <c r="G3" s="117">
        <f>'Base Year Summary (slides 9)'!E5</f>
        <v>15651184.998999996</v>
      </c>
      <c r="H3" s="117">
        <f>'Base Year Summary (slides 9)'!E6</f>
        <v>860469.77339999995</v>
      </c>
      <c r="I3" s="117">
        <f>'Base Year Summary (slides 9)'!E7</f>
        <v>1310917.1880000525</v>
      </c>
      <c r="J3" s="117">
        <f>SUM('eGRID methodology 2012 ADEQ'!H9:H42)</f>
        <v>5588.4</v>
      </c>
      <c r="K3" s="117">
        <v>0</v>
      </c>
      <c r="L3" s="121">
        <f t="shared" ref="L3:L5" si="0">B3*0.94</f>
        <v>2139.597135918671</v>
      </c>
      <c r="M3" s="123">
        <f t="shared" ref="M3:M5" si="1">F3-(O3-G3)*F3/(F3+H3)</f>
        <v>10218692.588886868</v>
      </c>
      <c r="N3" s="123">
        <f t="shared" ref="N3:N5" si="2">H3-(O3-G3)*H3/(F3+H3)</f>
        <v>309839.26351313561</v>
      </c>
      <c r="O3" s="123">
        <f>(0.7*J3+0.15*K3)*8784</f>
        <v>34361953.919999994</v>
      </c>
      <c r="P3" s="123">
        <f t="shared" ref="P3" si="3">E3+0.55*8784*C3*K3</f>
        <v>789080955.26661813</v>
      </c>
      <c r="Q3" s="123">
        <f>I3+8784*0.55*K3</f>
        <v>1310917.1880000525</v>
      </c>
      <c r="R3" s="124">
        <f>G3/(J3*8784)</f>
        <v>0.31883604537759647</v>
      </c>
      <c r="S3" s="124">
        <f t="shared" ref="S3" si="4">(O3-0.15*K3*8784)/(J3*8784)</f>
        <v>0.7</v>
      </c>
      <c r="T3" s="127">
        <v>842037.12970128562</v>
      </c>
      <c r="U3" s="129">
        <v>2288229.0213397061</v>
      </c>
      <c r="V3" s="129">
        <v>2479266.0746687674</v>
      </c>
      <c r="W3" s="129">
        <v>2686252.2115048999</v>
      </c>
      <c r="X3" s="129">
        <v>2910518.9707317012</v>
      </c>
      <c r="Y3" s="129">
        <v>3153509.0572316013</v>
      </c>
      <c r="Z3" s="129">
        <v>3416785.6227859175</v>
      </c>
      <c r="AA3" s="129">
        <v>3702042.3218080997</v>
      </c>
      <c r="AB3" s="129">
        <v>4011114.2065985613</v>
      </c>
      <c r="AC3" s="129">
        <v>4345989.5322101079</v>
      </c>
      <c r="AD3" s="129">
        <v>4708822.5468645049</v>
      </c>
      <c r="AE3" s="131">
        <v>1.5237756645043206E-2</v>
      </c>
      <c r="AF3" s="131">
        <v>2.3140612618675501E-2</v>
      </c>
      <c r="AG3" s="131">
        <v>3.238611909352046E-2</v>
      </c>
      <c r="AH3" s="131">
        <v>4.2820567914841033E-2</v>
      </c>
      <c r="AI3" s="131">
        <v>5.4211349179579087E-2</v>
      </c>
      <c r="AJ3" s="131">
        <v>6.4613667196547861E-2</v>
      </c>
      <c r="AK3" s="131">
        <v>7.4065695082287622E-2</v>
      </c>
      <c r="AL3" s="131">
        <v>8.2603816043337275E-2</v>
      </c>
      <c r="AM3" s="131">
        <v>9.0262702598758432E-2</v>
      </c>
      <c r="AN3" s="131">
        <v>9.7075392238470892E-2</v>
      </c>
      <c r="AO3" s="48">
        <v>1.1398795462238362</v>
      </c>
      <c r="AP3" s="132">
        <v>50378721.481700003</v>
      </c>
      <c r="AQ3" s="135">
        <f t="shared" ref="AQ3:AQ5" si="5">(($L3*$M3)+($C3*$O3)+($D3*$N3)+$P3)/($F3+$G3+$H3+$I3+$T3+U3+(AE3*$AP3))</f>
        <v>1028.4673854181146</v>
      </c>
      <c r="AR3" s="135">
        <f t="shared" ref="AR3:AZ5" si="6">(($L3*$M3)+($C3*$O3)+($D3*$N3)+$P3)/($F3+$G3+$H3+$I3+$T3+V3+(AF3*$AP3))</f>
        <v>1016.5130952778493</v>
      </c>
      <c r="AS3" s="135">
        <f t="shared" si="6"/>
        <v>1003.1981516162568</v>
      </c>
      <c r="AT3" s="135">
        <f t="shared" si="6"/>
        <v>988.76096134357795</v>
      </c>
      <c r="AU3" s="135">
        <f t="shared" si="6"/>
        <v>973.50132890303678</v>
      </c>
      <c r="AV3" s="135">
        <f t="shared" si="6"/>
        <v>959.23225364710822</v>
      </c>
      <c r="AW3" s="135">
        <f t="shared" si="6"/>
        <v>945.82479499875478</v>
      </c>
      <c r="AX3" s="135">
        <f t="shared" si="6"/>
        <v>933.1624471006977</v>
      </c>
      <c r="AY3" s="135">
        <f t="shared" si="6"/>
        <v>921.13906227594066</v>
      </c>
      <c r="AZ3" s="135">
        <f t="shared" si="6"/>
        <v>909.65714279142549</v>
      </c>
      <c r="BA3" s="135">
        <f t="shared" ref="BA3:BA5" si="7">AVERAGE(AQ3:AZ3)</f>
        <v>967.94566233727619</v>
      </c>
      <c r="BB3" s="136">
        <f t="shared" ref="BB3:BB5" si="8">AZ3</f>
        <v>909.65714279142549</v>
      </c>
    </row>
    <row r="4" spans="1:54" ht="27.75" customHeight="1" x14ac:dyDescent="0.25">
      <c r="A4" s="41" t="s">
        <v>143</v>
      </c>
      <c r="B4" s="117">
        <f>'Base Year Summary (slides 9)'!C30</f>
        <v>2197.7441682177628</v>
      </c>
      <c r="C4" s="117">
        <f>'Base Year Summary (slides 9)'!C31</f>
        <v>839.56080491140267</v>
      </c>
      <c r="D4" s="117">
        <f>'Base Year Summary (slides 9)'!C32</f>
        <v>1491.8859139423969</v>
      </c>
      <c r="E4" s="117">
        <f>'Base Year Summary (slides 9)'!D33</f>
        <v>740947756.81092155</v>
      </c>
      <c r="F4" s="117">
        <f>'Base Year Summary (slides 9)'!B30</f>
        <v>27709035.75</v>
      </c>
      <c r="G4" s="117">
        <f>'Base Year Summary (slides 9)'!B31</f>
        <v>12345403.249749999</v>
      </c>
      <c r="H4" s="117">
        <f>'Base Year Summary (slides 9)'!B32</f>
        <v>565338.94334999996</v>
      </c>
      <c r="I4" s="117">
        <f>'Base Year Summary (slides 9)'!B33</f>
        <v>1198308.6745112145</v>
      </c>
      <c r="J4" s="117">
        <f>J3</f>
        <v>5588.4</v>
      </c>
      <c r="K4" s="117">
        <v>0</v>
      </c>
      <c r="L4" s="121">
        <f t="shared" si="0"/>
        <v>2065.8795181246969</v>
      </c>
      <c r="M4" s="123">
        <f t="shared" si="1"/>
        <v>6201706.3537176251</v>
      </c>
      <c r="N4" s="123">
        <f t="shared" si="2"/>
        <v>126531.50938237552</v>
      </c>
      <c r="O4" s="123">
        <f>(0.7*J4+0.15*K4)*8766</f>
        <v>34291540.079999998</v>
      </c>
      <c r="P4" s="123">
        <f>E4+0.55*8766*C4*K4</f>
        <v>740947756.81092155</v>
      </c>
      <c r="Q4" s="123">
        <f t="shared" ref="Q4" si="9">I4+8766*0.55*K4</f>
        <v>1198308.6745112145</v>
      </c>
      <c r="R4" s="124">
        <f>G4/(J4*8766)</f>
        <v>0.25200916187095324</v>
      </c>
      <c r="S4" s="124">
        <f t="shared" ref="S4" si="10">(O4-0.15*K4*8766)/(J4*8766)</f>
        <v>0.7</v>
      </c>
      <c r="T4" s="127">
        <v>842037.12970128562</v>
      </c>
      <c r="U4" s="129">
        <v>2288229.0213397061</v>
      </c>
      <c r="V4" s="129">
        <v>2479266.0746687674</v>
      </c>
      <c r="W4" s="129">
        <v>2686252.2115048999</v>
      </c>
      <c r="X4" s="129">
        <v>2910518.9707317012</v>
      </c>
      <c r="Y4" s="129">
        <v>3153509.0572316013</v>
      </c>
      <c r="Z4" s="129">
        <v>3416785.6227859175</v>
      </c>
      <c r="AA4" s="129">
        <v>3702042.3218080997</v>
      </c>
      <c r="AB4" s="129">
        <v>4011114.2065985613</v>
      </c>
      <c r="AC4" s="129">
        <v>4345989.5322101079</v>
      </c>
      <c r="AD4" s="129">
        <v>4708822.5468645049</v>
      </c>
      <c r="AE4" s="131">
        <v>1.5237756645043206E-2</v>
      </c>
      <c r="AF4" s="131">
        <v>2.3140612618675501E-2</v>
      </c>
      <c r="AG4" s="131">
        <v>3.238611909352046E-2</v>
      </c>
      <c r="AH4" s="131">
        <v>4.2820567914841033E-2</v>
      </c>
      <c r="AI4" s="131">
        <v>5.4211349179579087E-2</v>
      </c>
      <c r="AJ4" s="131">
        <v>6.4613667196547861E-2</v>
      </c>
      <c r="AK4" s="131">
        <v>7.4065695082287622E-2</v>
      </c>
      <c r="AL4" s="131">
        <v>8.2603816043337275E-2</v>
      </c>
      <c r="AM4" s="131">
        <v>9.0262702598758432E-2</v>
      </c>
      <c r="AN4" s="131">
        <v>9.7075392238470892E-2</v>
      </c>
      <c r="AO4" s="48">
        <v>1.1398795462238362</v>
      </c>
      <c r="AP4" s="132">
        <v>50378723.481700003</v>
      </c>
      <c r="AQ4" s="135">
        <f t="shared" si="5"/>
        <v>930.34208508678205</v>
      </c>
      <c r="AR4" s="135">
        <f t="shared" si="6"/>
        <v>918.50470003618898</v>
      </c>
      <c r="AS4" s="135">
        <f t="shared" si="6"/>
        <v>905.35095518276592</v>
      </c>
      <c r="AT4" s="135">
        <f t="shared" si="6"/>
        <v>891.12531480495386</v>
      </c>
      <c r="AU4" s="135">
        <f t="shared" si="6"/>
        <v>876.13069954105708</v>
      </c>
      <c r="AV4" s="135">
        <f t="shared" si="6"/>
        <v>862.147789688849</v>
      </c>
      <c r="AW4" s="135">
        <f t="shared" si="6"/>
        <v>849.04285794211523</v>
      </c>
      <c r="AX4" s="135">
        <f t="shared" si="6"/>
        <v>836.69603977609631</v>
      </c>
      <c r="AY4" s="135">
        <f t="shared" si="6"/>
        <v>824.99897623088077</v>
      </c>
      <c r="AZ4" s="135">
        <f t="shared" si="6"/>
        <v>813.85289214483873</v>
      </c>
      <c r="BA4" s="135">
        <f t="shared" si="7"/>
        <v>870.81923104345276</v>
      </c>
      <c r="BB4" s="136">
        <f t="shared" si="8"/>
        <v>813.85289214483873</v>
      </c>
    </row>
    <row r="5" spans="1:54" ht="15.75" thickBot="1" x14ac:dyDescent="0.3">
      <c r="A5" s="42">
        <v>2013</v>
      </c>
      <c r="B5" s="119">
        <f>'Base Year Summary (slides 9)'!F24</f>
        <v>2186.2215394754016</v>
      </c>
      <c r="C5" s="119">
        <f>'Base Year Summary (slides 9)'!F25</f>
        <v>826.72198295087071</v>
      </c>
      <c r="D5" s="119">
        <f>'Base Year Summary (slides 9)'!F26</f>
        <v>1450.5584016727737</v>
      </c>
      <c r="E5" s="119">
        <f>'Base Year Summary (slides 9)'!F14</f>
        <v>801046664.01380289</v>
      </c>
      <c r="F5" s="119">
        <f>'Base Year Summary (slides 9)'!F4</f>
        <v>31859866</v>
      </c>
      <c r="G5" s="119">
        <f>'Base Year Summary (slides 9)'!F5</f>
        <v>11094670.997000001</v>
      </c>
      <c r="H5" s="119">
        <f>'Base Year Summary (slides 9)'!F6</f>
        <v>704937</v>
      </c>
      <c r="I5" s="119">
        <f>'Base Year Summary (slides 9)'!F7</f>
        <v>1332141.4645848281</v>
      </c>
      <c r="J5" s="119">
        <f>J3</f>
        <v>5588.4</v>
      </c>
      <c r="K5" s="120">
        <v>0</v>
      </c>
      <c r="L5" s="122">
        <f t="shared" si="0"/>
        <v>2055.0482471068776</v>
      </c>
      <c r="M5" s="125">
        <f t="shared" si="1"/>
        <v>9188107.5137510821</v>
      </c>
      <c r="N5" s="125">
        <f t="shared" si="2"/>
        <v>203297.68324892345</v>
      </c>
      <c r="O5" s="125">
        <f>(0.7*J5+0.15*K5)*8760</f>
        <v>34268068.799999997</v>
      </c>
      <c r="P5" s="125">
        <f t="shared" ref="P5" si="11">E5+0.55*8760*C5*K5</f>
        <v>801046664.01380289</v>
      </c>
      <c r="Q5" s="125">
        <f>I5+8760*0.55*K5</f>
        <v>1332141.4645848281</v>
      </c>
      <c r="R5" s="126">
        <f>G5/(J5*8760)</f>
        <v>0.22663283837868334</v>
      </c>
      <c r="S5" s="126">
        <f>(O5-0.15*K5*8760)/(J5*8760)</f>
        <v>0.7</v>
      </c>
      <c r="T5" s="128">
        <v>842037.12970128562</v>
      </c>
      <c r="U5" s="130">
        <v>2288229.0213397061</v>
      </c>
      <c r="V5" s="130">
        <v>2479266.0746687674</v>
      </c>
      <c r="W5" s="130">
        <v>2686252.2115048999</v>
      </c>
      <c r="X5" s="130">
        <v>2910518.9707317012</v>
      </c>
      <c r="Y5" s="130">
        <v>3153509.0572316013</v>
      </c>
      <c r="Z5" s="130">
        <v>3416785.6227859175</v>
      </c>
      <c r="AA5" s="130">
        <v>3702042.3218080997</v>
      </c>
      <c r="AB5" s="130">
        <v>4011114.2065985613</v>
      </c>
      <c r="AC5" s="130">
        <v>4345989.5322101079</v>
      </c>
      <c r="AD5" s="130">
        <v>4708822.5468645049</v>
      </c>
      <c r="AE5" s="133">
        <v>1.5237756645043206E-2</v>
      </c>
      <c r="AF5" s="133">
        <v>2.3140612618675501E-2</v>
      </c>
      <c r="AG5" s="133">
        <v>3.238611909352046E-2</v>
      </c>
      <c r="AH5" s="133">
        <v>4.2820567914841033E-2</v>
      </c>
      <c r="AI5" s="133">
        <v>5.4211349179579087E-2</v>
      </c>
      <c r="AJ5" s="133">
        <v>6.4613667196547861E-2</v>
      </c>
      <c r="AK5" s="133">
        <v>7.4065695082287622E-2</v>
      </c>
      <c r="AL5" s="133">
        <v>8.2603816043337275E-2</v>
      </c>
      <c r="AM5" s="133">
        <v>9.0262702598758432E-2</v>
      </c>
      <c r="AN5" s="133">
        <v>9.7075392238470892E-2</v>
      </c>
      <c r="AO5" s="48">
        <v>1.1398795462238362</v>
      </c>
      <c r="AP5" s="134">
        <v>50378725.481700003</v>
      </c>
      <c r="AQ5" s="137">
        <f t="shared" si="5"/>
        <v>988.10730250077324</v>
      </c>
      <c r="AR5" s="137">
        <f t="shared" si="6"/>
        <v>976.34131320543133</v>
      </c>
      <c r="AS5" s="137">
        <f t="shared" si="6"/>
        <v>963.24406600992302</v>
      </c>
      <c r="AT5" s="137">
        <f t="shared" si="6"/>
        <v>949.05239414462108</v>
      </c>
      <c r="AU5" s="137">
        <f t="shared" si="6"/>
        <v>934.06297025092249</v>
      </c>
      <c r="AV5" s="137">
        <f t="shared" si="6"/>
        <v>920.05650510943599</v>
      </c>
      <c r="AW5" s="137">
        <f t="shared" si="6"/>
        <v>906.90454574896876</v>
      </c>
      <c r="AX5" s="137">
        <f t="shared" si="6"/>
        <v>894.49127126370979</v>
      </c>
      <c r="AY5" s="137">
        <f t="shared" si="6"/>
        <v>882.71137401526732</v>
      </c>
      <c r="AZ5" s="137">
        <f t="shared" si="6"/>
        <v>871.46832078076352</v>
      </c>
      <c r="BA5" s="137">
        <f t="shared" si="7"/>
        <v>928.64400630298167</v>
      </c>
      <c r="BB5" s="138">
        <f t="shared" si="8"/>
        <v>871.46832078076352</v>
      </c>
    </row>
    <row r="6" spans="1:54" x14ac:dyDescent="0.25">
      <c r="A6" s="34"/>
      <c r="B6" s="35"/>
      <c r="C6" s="35"/>
      <c r="D6" s="35"/>
      <c r="E6" s="35"/>
      <c r="F6" s="35"/>
      <c r="G6" s="35"/>
      <c r="H6" s="35"/>
      <c r="I6" s="35"/>
      <c r="J6" s="35"/>
      <c r="K6" s="36"/>
      <c r="L6" s="35"/>
      <c r="M6" s="35"/>
      <c r="N6" s="35"/>
      <c r="O6" s="35"/>
      <c r="P6" s="35"/>
      <c r="Q6" s="35"/>
      <c r="R6" s="37"/>
      <c r="S6" s="37"/>
      <c r="T6" s="38"/>
      <c r="U6" s="38"/>
      <c r="V6" s="38"/>
      <c r="W6" s="38"/>
      <c r="X6" s="38"/>
      <c r="Y6" s="38"/>
      <c r="Z6" s="38"/>
      <c r="AA6" s="38"/>
      <c r="AB6" s="38"/>
      <c r="AC6" s="38"/>
      <c r="AD6" s="38"/>
      <c r="AE6" s="39"/>
      <c r="AF6" s="39"/>
      <c r="AG6" s="39"/>
      <c r="AH6" s="39"/>
      <c r="AI6" s="39"/>
      <c r="AJ6" s="39"/>
      <c r="AK6" s="39"/>
      <c r="AL6" s="39"/>
      <c r="AM6" s="39"/>
      <c r="AN6" s="39"/>
      <c r="AO6" s="39"/>
      <c r="AP6" s="38"/>
      <c r="AQ6" s="35"/>
      <c r="AR6" s="35"/>
      <c r="AS6" s="35"/>
      <c r="AT6" s="35"/>
      <c r="AU6" s="35"/>
      <c r="AV6" s="35"/>
      <c r="AW6" s="35"/>
      <c r="AX6" s="35"/>
      <c r="AY6" s="35"/>
      <c r="AZ6" s="35"/>
      <c r="BA6" s="35"/>
      <c r="BB6" s="35"/>
    </row>
    <row r="7" spans="1:54" ht="30" x14ac:dyDescent="0.25">
      <c r="A7" s="17"/>
      <c r="B7" s="17" t="s">
        <v>137</v>
      </c>
      <c r="C7" s="18" t="s">
        <v>145</v>
      </c>
      <c r="D7" s="18" t="s">
        <v>148</v>
      </c>
      <c r="E7" s="17" t="s">
        <v>138</v>
      </c>
      <c r="F7" s="17" t="s">
        <v>139</v>
      </c>
      <c r="G7" s="17" t="s">
        <v>140</v>
      </c>
    </row>
    <row r="8" spans="1:54" x14ac:dyDescent="0.25">
      <c r="A8" s="44">
        <v>2012</v>
      </c>
      <c r="B8" s="45">
        <f>((B3*F3)+(C3*G3)+(D3*H3)+E3)/(F3+G3+H3+I3)</f>
        <v>1722.3578987939497</v>
      </c>
      <c r="C8" s="45">
        <f>((L3*F3)+(C3*G3)+(D3*H3)+E3)/(F3+G3+H3+I3)</f>
        <v>1638.4708834363869</v>
      </c>
      <c r="D8" s="45">
        <f>((B3*M3)+(C3*O3)+(D3*N3)+P3)/(F3+G3+H3+I3)</f>
        <v>1145.4433944723467</v>
      </c>
      <c r="E8" s="45">
        <f>((L3*M3)+(C3*O3)+(D3*N3)+P3)/(F3+G3+H3+I3)</f>
        <v>1115.2372305137903</v>
      </c>
      <c r="F8" s="45">
        <f>(($L3*$M3)+($C3*$O3)+($D3*$N3)+$P3)/($F3+$G3+$H3+$I3+$T3+AD3)</f>
        <v>995.61878182702492</v>
      </c>
      <c r="G8" s="45">
        <f>(($L3*$M3)+($C3*$O3)+($D3*$N3)+$P3)/($F3+$G3+$H3+$I3+$T3+AD3+(AN3*$AP3))</f>
        <v>909.65714279142549</v>
      </c>
      <c r="I8" s="10"/>
      <c r="J8" s="11"/>
    </row>
    <row r="9" spans="1:54" x14ac:dyDescent="0.25">
      <c r="A9" s="46" t="s">
        <v>147</v>
      </c>
      <c r="B9" s="45">
        <f>((B4*F4)+(C4*G4)+(D4*H4)+E4)/(F4+G4+H4+I4)</f>
        <v>1741.9844682261323</v>
      </c>
      <c r="C9" s="45">
        <f>((L4*F4)+(C4*G4)+(D4*H4)+E4)/(F4+G4+H4+I4)</f>
        <v>1654.609779446105</v>
      </c>
      <c r="D9" s="45">
        <f t="shared" ref="D9:D10" si="12">((B4*M4)+(C4*O4)+(D4*N4)+P4)/(F4+G4+H4+I4)</f>
        <v>1036.6164213302541</v>
      </c>
      <c r="E9" s="45">
        <f t="shared" ref="E9:E10" si="13">((L4*M4)+(C4*O4)+(D4*N4)+P4)/(F4+G4+H4+I4)</f>
        <v>1017.0606285033169</v>
      </c>
      <c r="F9" s="45">
        <f t="shared" ref="F9:F10" si="14">(($L4*$M4)+($C4*$O4)+($D4*$N4)+$P4)/($F4+$G4+$H4+$I4+$T4+AD4)</f>
        <v>897.87788805726825</v>
      </c>
      <c r="G9" s="45">
        <f t="shared" ref="G9:G10" si="15">(($L4*$M4)+($C4*$O4)+($D4*$N4)+$P4)/($F4+$G4+$H4+$I4+$T4+AD4+(AN4*$AP4))</f>
        <v>813.85289214483873</v>
      </c>
      <c r="I9" s="10"/>
      <c r="J9" s="11"/>
    </row>
    <row r="10" spans="1:54" x14ac:dyDescent="0.25">
      <c r="A10" s="44">
        <v>2013</v>
      </c>
      <c r="B10" s="45">
        <f t="shared" ref="B10" si="16">((B5*F5)+(C5*G5)+(D5*H5)+E5)/(F5+G5+H5+I5)</f>
        <v>1792.5236030189062</v>
      </c>
      <c r="C10" s="45">
        <f t="shared" ref="C10" si="17">((L5*F5)+(C5*G5)+(D5*H5)+E5)/(F5+G5+H5+I5)</f>
        <v>1699.6359955221653</v>
      </c>
      <c r="D10" s="45">
        <f t="shared" si="12"/>
        <v>1100.5016304110784</v>
      </c>
      <c r="E10" s="45">
        <f t="shared" si="13"/>
        <v>1073.7136544548969</v>
      </c>
      <c r="F10" s="45">
        <f t="shared" si="14"/>
        <v>955.79236523427846</v>
      </c>
      <c r="G10" s="45">
        <f t="shared" si="15"/>
        <v>871.46832078076352</v>
      </c>
    </row>
    <row r="11" spans="1:54" x14ac:dyDescent="0.25">
      <c r="O11" s="12"/>
      <c r="P11" s="12"/>
      <c r="Q11" s="12"/>
      <c r="R11" s="12"/>
      <c r="S11" s="12"/>
      <c r="T11" s="12"/>
      <c r="U11" s="12"/>
    </row>
    <row r="12" spans="1:54" x14ac:dyDescent="0.25">
      <c r="A12" s="17"/>
      <c r="B12" s="19" t="s">
        <v>142</v>
      </c>
    </row>
    <row r="13" spans="1:54" x14ac:dyDescent="0.25">
      <c r="A13" s="43">
        <v>2012</v>
      </c>
      <c r="B13" s="19">
        <v>8784</v>
      </c>
    </row>
    <row r="14" spans="1:54" x14ac:dyDescent="0.25">
      <c r="A14" s="43" t="s">
        <v>143</v>
      </c>
      <c r="B14" s="19">
        <v>8766</v>
      </c>
    </row>
    <row r="15" spans="1:54" x14ac:dyDescent="0.25">
      <c r="A15" s="43">
        <v>2013</v>
      </c>
      <c r="B15" s="19">
        <v>8760</v>
      </c>
    </row>
    <row r="16" spans="1:54" x14ac:dyDescent="0.25">
      <c r="A16" s="7"/>
    </row>
    <row r="17" spans="1:5" x14ac:dyDescent="0.25">
      <c r="A17" s="16" t="s">
        <v>161</v>
      </c>
    </row>
    <row r="18" spans="1:5" x14ac:dyDescent="0.25">
      <c r="A18" s="13"/>
      <c r="B18" s="13"/>
      <c r="C18" s="8"/>
      <c r="D18" s="13"/>
      <c r="E18" s="13"/>
    </row>
    <row r="19" spans="1:5" x14ac:dyDescent="0.25">
      <c r="A19" s="14"/>
      <c r="B19" s="9"/>
      <c r="C19" s="9"/>
      <c r="D19" s="9"/>
      <c r="E19" s="9"/>
    </row>
    <row r="20" spans="1:5" x14ac:dyDescent="0.25">
      <c r="A20" s="15"/>
      <c r="B20" s="9"/>
      <c r="C20" s="9"/>
      <c r="D20" s="9"/>
      <c r="E20" s="9"/>
    </row>
    <row r="21" spans="1:5" x14ac:dyDescent="0.25">
      <c r="A21" s="14"/>
      <c r="B21" s="9"/>
      <c r="C21" s="9"/>
      <c r="D21" s="9"/>
      <c r="E21" s="9"/>
    </row>
  </sheetData>
  <mergeCells count="5">
    <mergeCell ref="B1:K1"/>
    <mergeCell ref="M1:S1"/>
    <mergeCell ref="U1:AD1"/>
    <mergeCell ref="AE1:AP1"/>
    <mergeCell ref="AQ1:BB1"/>
  </mergeCells>
  <pageMargins left="0.7" right="0.7" top="0.75" bottom="0.75" header="0.3" footer="0.3"/>
  <pageSetup scale="85" fitToHeight="0" orientation="landscape" r:id="rId1"/>
  <colBreaks count="4" manualBreakCount="4">
    <brk id="11" max="1048575" man="1"/>
    <brk id="20" max="4" man="1"/>
    <brk id="30" max="1048575" man="1"/>
    <brk id="4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6" workbookViewId="0">
      <selection activeCell="B38" sqref="B38"/>
    </sheetView>
  </sheetViews>
  <sheetFormatPr defaultRowHeight="15" x14ac:dyDescent="0.25"/>
  <cols>
    <col min="2" max="2" width="14.5703125" bestFit="1" customWidth="1"/>
    <col min="3" max="3" width="15.42578125" bestFit="1" customWidth="1"/>
    <col min="4" max="4" width="14.28515625" bestFit="1" customWidth="1"/>
    <col min="5" max="5" width="15.42578125" bestFit="1" customWidth="1"/>
    <col min="6" max="6" width="9.42578125" bestFit="1" customWidth="1"/>
    <col min="7" max="8" width="15.42578125" bestFit="1" customWidth="1"/>
    <col min="9" max="9" width="14.42578125" bestFit="1" customWidth="1"/>
    <col min="10" max="10" width="15.42578125" bestFit="1" customWidth="1"/>
    <col min="11" max="11" width="16.140625" bestFit="1" customWidth="1"/>
    <col min="13" max="13" width="12" bestFit="1" customWidth="1"/>
  </cols>
  <sheetData>
    <row r="1" spans="1:13" ht="15.75" thickBot="1" x14ac:dyDescent="0.3">
      <c r="A1" t="s">
        <v>166</v>
      </c>
    </row>
    <row r="2" spans="1:13" ht="105" x14ac:dyDescent="0.25">
      <c r="A2" s="49" t="s">
        <v>1</v>
      </c>
      <c r="B2" s="50" t="s">
        <v>167</v>
      </c>
      <c r="C2" s="51" t="s">
        <v>168</v>
      </c>
      <c r="D2" s="52" t="s">
        <v>169</v>
      </c>
      <c r="E2" s="51" t="s">
        <v>170</v>
      </c>
      <c r="F2" s="53" t="s">
        <v>171</v>
      </c>
      <c r="G2" s="54" t="s">
        <v>172</v>
      </c>
      <c r="H2" s="55" t="s">
        <v>173</v>
      </c>
      <c r="I2" s="55" t="s">
        <v>174</v>
      </c>
      <c r="J2" s="55" t="s">
        <v>175</v>
      </c>
      <c r="K2" s="55" t="s">
        <v>176</v>
      </c>
      <c r="L2" s="56" t="s">
        <v>177</v>
      </c>
    </row>
    <row r="3" spans="1:13" x14ac:dyDescent="0.25">
      <c r="A3" s="57" t="s">
        <v>16</v>
      </c>
      <c r="B3" s="58" t="s">
        <v>178</v>
      </c>
      <c r="C3" s="85">
        <v>65005677.969999999</v>
      </c>
      <c r="D3" s="85">
        <v>1660370.07</v>
      </c>
      <c r="E3" s="85">
        <v>45580902.450000003</v>
      </c>
      <c r="F3" s="85">
        <v>0</v>
      </c>
      <c r="G3" s="85">
        <v>45580902.450000003</v>
      </c>
      <c r="H3" s="85">
        <v>65005677.969999999</v>
      </c>
      <c r="I3" s="147">
        <f>C3*0.2</f>
        <v>13001135.594000001</v>
      </c>
      <c r="J3" s="145">
        <f>SUM(I$3:I$8)</f>
        <v>150952893.01200002</v>
      </c>
      <c r="K3" s="147">
        <f>SUM(D$3:D$8)</f>
        <v>53227248.009999998</v>
      </c>
      <c r="L3" s="59">
        <f>(J3/K3)^(1/13)-1</f>
        <v>8.3486858853496049E-2</v>
      </c>
    </row>
    <row r="4" spans="1:13" x14ac:dyDescent="0.25">
      <c r="A4" s="57" t="s">
        <v>179</v>
      </c>
      <c r="B4" s="58" t="s">
        <v>178</v>
      </c>
      <c r="C4" s="85">
        <v>44424690.770000003</v>
      </c>
      <c r="D4" s="85">
        <v>5252653.3499999996</v>
      </c>
      <c r="E4" s="85">
        <v>30876714.420000002</v>
      </c>
      <c r="F4" s="85">
        <v>0</v>
      </c>
      <c r="G4" s="85">
        <v>30876714.420000002</v>
      </c>
      <c r="H4" s="85">
        <v>44424690.770000003</v>
      </c>
      <c r="I4" s="147">
        <f t="shared" ref="I4:I8" si="0">C4*0.2</f>
        <v>8884938.154000001</v>
      </c>
      <c r="J4" s="145">
        <f t="shared" ref="J4:J8" si="1">SUM(I$3:I$8)</f>
        <v>150952893.01200002</v>
      </c>
      <c r="K4" s="147">
        <f t="shared" ref="K4:K8" si="2">SUM(D$3:D$8)</f>
        <v>53227248.009999998</v>
      </c>
      <c r="L4" s="59">
        <f t="shared" ref="L4:L8" si="3">(J4/K4)^(1/13)-1</f>
        <v>8.3486858853496049E-2</v>
      </c>
    </row>
    <row r="5" spans="1:13" x14ac:dyDescent="0.25">
      <c r="A5" s="57" t="s">
        <v>180</v>
      </c>
      <c r="B5" s="58" t="s">
        <v>178</v>
      </c>
      <c r="C5" s="85">
        <v>103407705.81999999</v>
      </c>
      <c r="D5" s="85">
        <v>2430042.23</v>
      </c>
      <c r="E5" s="85">
        <v>83015472.090000004</v>
      </c>
      <c r="F5" s="85">
        <v>0</v>
      </c>
      <c r="G5" s="85">
        <v>83015472.090000004</v>
      </c>
      <c r="H5" s="85">
        <v>103407705.81999999</v>
      </c>
      <c r="I5" s="147">
        <f t="shared" si="0"/>
        <v>20681541.164000001</v>
      </c>
      <c r="J5" s="145">
        <f t="shared" si="1"/>
        <v>150952893.01200002</v>
      </c>
      <c r="K5" s="147">
        <f t="shared" si="2"/>
        <v>53227248.009999998</v>
      </c>
      <c r="L5" s="59">
        <f t="shared" si="3"/>
        <v>8.3486858853496049E-2</v>
      </c>
    </row>
    <row r="6" spans="1:13" x14ac:dyDescent="0.25">
      <c r="A6" s="57" t="s">
        <v>181</v>
      </c>
      <c r="B6" s="58" t="s">
        <v>178</v>
      </c>
      <c r="C6" s="85">
        <v>34217292.579999998</v>
      </c>
      <c r="D6" s="85">
        <v>1346761.78</v>
      </c>
      <c r="E6" s="85">
        <v>25811898.800000001</v>
      </c>
      <c r="F6" s="85">
        <v>0</v>
      </c>
      <c r="G6" s="85">
        <v>25811898.800000001</v>
      </c>
      <c r="H6" s="85">
        <v>34217292.579999998</v>
      </c>
      <c r="I6" s="147">
        <f t="shared" si="0"/>
        <v>6843458.5159999998</v>
      </c>
      <c r="J6" s="145">
        <f t="shared" si="1"/>
        <v>150952893.01200002</v>
      </c>
      <c r="K6" s="147">
        <f t="shared" si="2"/>
        <v>53227248.009999998</v>
      </c>
      <c r="L6" s="59">
        <f t="shared" si="3"/>
        <v>8.3486858853496049E-2</v>
      </c>
    </row>
    <row r="7" spans="1:13" x14ac:dyDescent="0.25">
      <c r="A7" s="57" t="s">
        <v>182</v>
      </c>
      <c r="B7" s="58" t="s">
        <v>178</v>
      </c>
      <c r="C7" s="85">
        <v>77896588.129999995</v>
      </c>
      <c r="D7" s="85">
        <v>8520724.0499999989</v>
      </c>
      <c r="E7" s="85">
        <v>68337001.870000005</v>
      </c>
      <c r="F7" s="85">
        <v>0</v>
      </c>
      <c r="G7" s="85">
        <v>68337001.870000005</v>
      </c>
      <c r="H7" s="85">
        <v>77896588.129999995</v>
      </c>
      <c r="I7" s="147">
        <f t="shared" si="0"/>
        <v>15579317.626</v>
      </c>
      <c r="J7" s="145">
        <f t="shared" si="1"/>
        <v>150952893.01200002</v>
      </c>
      <c r="K7" s="147">
        <f t="shared" si="2"/>
        <v>53227248.009999998</v>
      </c>
      <c r="L7" s="59">
        <f t="shared" si="3"/>
        <v>8.3486858853496049E-2</v>
      </c>
    </row>
    <row r="8" spans="1:13" ht="15.75" thickBot="1" x14ac:dyDescent="0.3">
      <c r="A8" s="60" t="s">
        <v>183</v>
      </c>
      <c r="B8" s="61" t="s">
        <v>178</v>
      </c>
      <c r="C8" s="86">
        <v>429812509.78999996</v>
      </c>
      <c r="D8" s="86">
        <v>34016696.530000001</v>
      </c>
      <c r="E8" s="86">
        <v>353473708.84000003</v>
      </c>
      <c r="F8" s="86">
        <v>0</v>
      </c>
      <c r="G8" s="86">
        <v>353473708.84000003</v>
      </c>
      <c r="H8" s="86">
        <v>429812509.78999996</v>
      </c>
      <c r="I8" s="148">
        <f t="shared" si="0"/>
        <v>85962501.958000004</v>
      </c>
      <c r="J8" s="146">
        <f t="shared" si="1"/>
        <v>150952893.01200002</v>
      </c>
      <c r="K8" s="148">
        <f t="shared" si="2"/>
        <v>53227248.009999998</v>
      </c>
      <c r="L8" s="62">
        <f t="shared" si="3"/>
        <v>8.3486858853496049E-2</v>
      </c>
    </row>
    <row r="9" spans="1:13" s="4" customFormat="1" ht="15.75" customHeight="1" x14ac:dyDescent="0.25">
      <c r="A9" s="63"/>
      <c r="B9" s="63"/>
      <c r="C9" s="63"/>
      <c r="D9" s="64"/>
      <c r="E9" s="63"/>
      <c r="F9" s="64"/>
      <c r="G9" s="63"/>
      <c r="H9" s="63"/>
      <c r="L9" s="65"/>
      <c r="M9" s="66"/>
    </row>
    <row r="10" spans="1:13" ht="15.75" thickBot="1" x14ac:dyDescent="0.3">
      <c r="A10" t="s">
        <v>184</v>
      </c>
    </row>
    <row r="11" spans="1:13" ht="105" x14ac:dyDescent="0.25">
      <c r="A11" s="49" t="s">
        <v>1</v>
      </c>
      <c r="B11" s="50" t="s">
        <v>167</v>
      </c>
      <c r="C11" s="51" t="s">
        <v>168</v>
      </c>
      <c r="D11" s="52" t="s">
        <v>169</v>
      </c>
      <c r="E11" s="51" t="s">
        <v>170</v>
      </c>
      <c r="F11" s="53" t="s">
        <v>171</v>
      </c>
      <c r="G11" s="54" t="s">
        <v>172</v>
      </c>
      <c r="H11" s="55" t="s">
        <v>173</v>
      </c>
      <c r="I11" s="55" t="s">
        <v>185</v>
      </c>
      <c r="J11" s="55" t="s">
        <v>175</v>
      </c>
      <c r="K11" s="55" t="s">
        <v>176</v>
      </c>
      <c r="L11" s="56" t="s">
        <v>177</v>
      </c>
    </row>
    <row r="12" spans="1:13" x14ac:dyDescent="0.25">
      <c r="A12" s="57" t="s">
        <v>186</v>
      </c>
      <c r="B12" s="58" t="s">
        <v>187</v>
      </c>
      <c r="C12" s="85">
        <v>152878687.69999999</v>
      </c>
      <c r="D12" s="85">
        <v>2776554</v>
      </c>
      <c r="E12" s="85">
        <v>101421503.38</v>
      </c>
      <c r="F12" s="85">
        <v>0</v>
      </c>
      <c r="G12" s="85">
        <v>101421503.38</v>
      </c>
      <c r="H12" s="85">
        <v>152878687.69999999</v>
      </c>
      <c r="I12" s="142">
        <f>C12*0.1</f>
        <v>15287868.77</v>
      </c>
      <c r="J12" s="140">
        <f>SUM(I$12:I$20)</f>
        <v>99698255.800999984</v>
      </c>
      <c r="K12" s="140">
        <f>SUM(D$12:D$20)</f>
        <v>19765177.449999999</v>
      </c>
      <c r="L12" s="59">
        <f>(J12/K12)^(1/13)-1</f>
        <v>0.13255819359335153</v>
      </c>
    </row>
    <row r="13" spans="1:13" x14ac:dyDescent="0.25">
      <c r="A13" s="57" t="s">
        <v>16</v>
      </c>
      <c r="B13" s="58" t="s">
        <v>178</v>
      </c>
      <c r="C13" s="85">
        <v>65005677.969999999</v>
      </c>
      <c r="D13" s="85">
        <v>1660370.07</v>
      </c>
      <c r="E13" s="85">
        <v>45580902.450000003</v>
      </c>
      <c r="F13" s="85">
        <v>0</v>
      </c>
      <c r="G13" s="85">
        <v>45580902.450000003</v>
      </c>
      <c r="H13" s="85">
        <v>65005677.969999999</v>
      </c>
      <c r="I13" s="143">
        <f t="shared" ref="I13:I20" si="4">C13*0.1</f>
        <v>6500567.7970000003</v>
      </c>
      <c r="J13" s="81">
        <f t="shared" ref="J13:J20" si="5">SUM(I$12:I$20)</f>
        <v>99698255.800999984</v>
      </c>
      <c r="K13" s="81">
        <f t="shared" ref="K13:K20" si="6">SUM(D$12:D$20)</f>
        <v>19765177.449999999</v>
      </c>
      <c r="L13" s="59">
        <f t="shared" ref="L13:L20" si="7">(J13/K13)^(1/13)-1</f>
        <v>0.13255819359335153</v>
      </c>
    </row>
    <row r="14" spans="1:13" x14ac:dyDescent="0.25">
      <c r="A14" s="57" t="s">
        <v>188</v>
      </c>
      <c r="B14" s="58" t="s">
        <v>187</v>
      </c>
      <c r="C14" s="85">
        <v>221096135.98999998</v>
      </c>
      <c r="D14" s="85">
        <v>4523797.99</v>
      </c>
      <c r="E14" s="85">
        <v>195352057.94999999</v>
      </c>
      <c r="F14" s="85">
        <v>0</v>
      </c>
      <c r="G14" s="85">
        <v>195352057.94999999</v>
      </c>
      <c r="H14" s="85">
        <v>221096135.98999998</v>
      </c>
      <c r="I14" s="143">
        <f t="shared" si="4"/>
        <v>22109613.598999999</v>
      </c>
      <c r="J14" s="81">
        <f t="shared" si="5"/>
        <v>99698255.800999984</v>
      </c>
      <c r="K14" s="81">
        <f t="shared" si="6"/>
        <v>19765177.449999999</v>
      </c>
      <c r="L14" s="59">
        <f t="shared" si="7"/>
        <v>0.13255819359335153</v>
      </c>
    </row>
    <row r="15" spans="1:13" x14ac:dyDescent="0.25">
      <c r="A15" s="57" t="s">
        <v>189</v>
      </c>
      <c r="B15" s="58" t="s">
        <v>187</v>
      </c>
      <c r="C15" s="85">
        <v>122306363.84999999</v>
      </c>
      <c r="D15" s="85">
        <v>3278536.21</v>
      </c>
      <c r="E15" s="85">
        <v>83631722.5</v>
      </c>
      <c r="F15" s="85">
        <v>0</v>
      </c>
      <c r="G15" s="85">
        <v>83631722.5</v>
      </c>
      <c r="H15" s="85">
        <v>122306363.84999999</v>
      </c>
      <c r="I15" s="143">
        <f t="shared" si="4"/>
        <v>12230636.385</v>
      </c>
      <c r="J15" s="81">
        <f t="shared" si="5"/>
        <v>99698255.800999984</v>
      </c>
      <c r="K15" s="81">
        <f t="shared" si="6"/>
        <v>19765177.449999999</v>
      </c>
      <c r="L15" s="59">
        <f t="shared" si="7"/>
        <v>0.13255819359335153</v>
      </c>
    </row>
    <row r="16" spans="1:13" x14ac:dyDescent="0.25">
      <c r="A16" s="57" t="s">
        <v>190</v>
      </c>
      <c r="B16" s="58" t="s">
        <v>187</v>
      </c>
      <c r="C16" s="85">
        <v>89949688.699999988</v>
      </c>
      <c r="D16" s="85">
        <v>332879.45</v>
      </c>
      <c r="E16" s="85">
        <v>87246951.979999989</v>
      </c>
      <c r="F16" s="85">
        <v>0</v>
      </c>
      <c r="G16" s="85">
        <v>87246951.979999989</v>
      </c>
      <c r="H16" s="85">
        <v>89949688.699999988</v>
      </c>
      <c r="I16" s="143">
        <f t="shared" si="4"/>
        <v>8994968.8699999992</v>
      </c>
      <c r="J16" s="81">
        <f t="shared" si="5"/>
        <v>99698255.800999984</v>
      </c>
      <c r="K16" s="81">
        <f t="shared" si="6"/>
        <v>19765177.449999999</v>
      </c>
      <c r="L16" s="59">
        <f t="shared" si="7"/>
        <v>0.13255819359335153</v>
      </c>
    </row>
    <row r="17" spans="1:12" x14ac:dyDescent="0.25">
      <c r="A17" s="57" t="s">
        <v>191</v>
      </c>
      <c r="B17" s="58" t="s">
        <v>187</v>
      </c>
      <c r="C17" s="85">
        <v>54584295.009999998</v>
      </c>
      <c r="D17" s="85">
        <v>1509189.94</v>
      </c>
      <c r="E17" s="85">
        <v>45778948.259999998</v>
      </c>
      <c r="F17" s="85">
        <v>0</v>
      </c>
      <c r="G17" s="85">
        <v>45778948.259999998</v>
      </c>
      <c r="H17" s="85">
        <v>54584295.009999998</v>
      </c>
      <c r="I17" s="143">
        <f t="shared" si="4"/>
        <v>5458429.5010000002</v>
      </c>
      <c r="J17" s="81">
        <f t="shared" si="5"/>
        <v>99698255.800999984</v>
      </c>
      <c r="K17" s="81">
        <f t="shared" si="6"/>
        <v>19765177.449999999</v>
      </c>
      <c r="L17" s="59">
        <f t="shared" si="7"/>
        <v>0.13255819359335153</v>
      </c>
    </row>
    <row r="18" spans="1:12" x14ac:dyDescent="0.25">
      <c r="A18" s="57" t="s">
        <v>192</v>
      </c>
      <c r="B18" s="58" t="s">
        <v>187</v>
      </c>
      <c r="C18" s="85">
        <v>116681763.11</v>
      </c>
      <c r="D18" s="85">
        <v>2703919.3200000003</v>
      </c>
      <c r="E18" s="85">
        <v>70412448.439999998</v>
      </c>
      <c r="F18" s="85">
        <v>0</v>
      </c>
      <c r="G18" s="85">
        <v>70412448.439999998</v>
      </c>
      <c r="H18" s="85">
        <v>116681763.11</v>
      </c>
      <c r="I18" s="143">
        <f t="shared" si="4"/>
        <v>11668176.311000001</v>
      </c>
      <c r="J18" s="81">
        <f t="shared" si="5"/>
        <v>99698255.800999984</v>
      </c>
      <c r="K18" s="81">
        <f t="shared" si="6"/>
        <v>19765177.449999999</v>
      </c>
      <c r="L18" s="59">
        <f t="shared" si="7"/>
        <v>0.13255819359335153</v>
      </c>
    </row>
    <row r="19" spans="1:12" x14ac:dyDescent="0.25">
      <c r="A19" s="57" t="s">
        <v>193</v>
      </c>
      <c r="B19" s="58" t="s">
        <v>187</v>
      </c>
      <c r="C19" s="85">
        <v>96755681.879999995</v>
      </c>
      <c r="D19" s="85">
        <v>2143472.62</v>
      </c>
      <c r="E19" s="85">
        <v>42836422.670000002</v>
      </c>
      <c r="F19" s="85">
        <v>0</v>
      </c>
      <c r="G19" s="85">
        <v>42836422.670000002</v>
      </c>
      <c r="H19" s="85">
        <v>96755681.879999995</v>
      </c>
      <c r="I19" s="143">
        <f t="shared" si="4"/>
        <v>9675568.1879999992</v>
      </c>
      <c r="J19" s="81">
        <f t="shared" si="5"/>
        <v>99698255.800999984</v>
      </c>
      <c r="K19" s="81">
        <f t="shared" si="6"/>
        <v>19765177.449999999</v>
      </c>
      <c r="L19" s="59">
        <f t="shared" si="7"/>
        <v>0.13255819359335153</v>
      </c>
    </row>
    <row r="20" spans="1:12" ht="15.75" thickBot="1" x14ac:dyDescent="0.3">
      <c r="A20" s="60" t="s">
        <v>194</v>
      </c>
      <c r="B20" s="61" t="s">
        <v>187</v>
      </c>
      <c r="C20" s="86">
        <v>77724263.800000012</v>
      </c>
      <c r="D20" s="86">
        <v>836457.85</v>
      </c>
      <c r="E20" s="86">
        <v>43638948.439999998</v>
      </c>
      <c r="F20" s="86">
        <v>0</v>
      </c>
      <c r="G20" s="86">
        <v>43638948.439999998</v>
      </c>
      <c r="H20" s="86">
        <v>77724263.800000012</v>
      </c>
      <c r="I20" s="144">
        <f t="shared" si="4"/>
        <v>7772426.3800000018</v>
      </c>
      <c r="J20" s="141">
        <f t="shared" si="5"/>
        <v>99698255.800999984</v>
      </c>
      <c r="K20" s="141">
        <f t="shared" si="6"/>
        <v>19765177.449999999</v>
      </c>
      <c r="L20" s="62">
        <f t="shared" si="7"/>
        <v>0.13255819359335153</v>
      </c>
    </row>
    <row r="22" spans="1:12" ht="15.75" thickBot="1" x14ac:dyDescent="0.3">
      <c r="A22" s="67" t="s">
        <v>195</v>
      </c>
    </row>
    <row r="23" spans="1:12" ht="105" x14ac:dyDescent="0.25">
      <c r="A23" s="49" t="s">
        <v>1</v>
      </c>
      <c r="B23" s="50" t="s">
        <v>167</v>
      </c>
      <c r="C23" s="51" t="s">
        <v>168</v>
      </c>
      <c r="D23" s="52" t="s">
        <v>169</v>
      </c>
      <c r="E23" s="51" t="s">
        <v>170</v>
      </c>
      <c r="F23" s="53" t="s">
        <v>171</v>
      </c>
      <c r="G23" s="54" t="s">
        <v>172</v>
      </c>
      <c r="H23" s="55" t="s">
        <v>173</v>
      </c>
      <c r="I23" s="55" t="s">
        <v>185</v>
      </c>
      <c r="J23" s="55" t="s">
        <v>175</v>
      </c>
      <c r="K23" s="55" t="s">
        <v>176</v>
      </c>
      <c r="L23" s="56" t="s">
        <v>177</v>
      </c>
    </row>
    <row r="24" spans="1:12" x14ac:dyDescent="0.25">
      <c r="A24" s="57" t="s">
        <v>186</v>
      </c>
      <c r="B24" s="58" t="s">
        <v>187</v>
      </c>
      <c r="C24" s="85">
        <v>152878687.69999999</v>
      </c>
      <c r="D24" s="85">
        <v>2776554</v>
      </c>
      <c r="E24" s="85">
        <v>101421503.38</v>
      </c>
      <c r="F24" s="85">
        <v>0</v>
      </c>
      <c r="G24" s="85">
        <v>101421503.38</v>
      </c>
      <c r="H24" s="85">
        <v>152878687.69999999</v>
      </c>
      <c r="I24" s="142">
        <f>C24*0.1</f>
        <v>15287868.77</v>
      </c>
      <c r="J24" s="149">
        <f>SUM(I$24:I$33)</f>
        <v>110039026.38299999</v>
      </c>
      <c r="K24" s="149">
        <f>SUM(D$24:D$33)</f>
        <v>22195219.68</v>
      </c>
      <c r="L24" s="59">
        <f>(J24/K24)^(1/13)-1</f>
        <v>0.13105477561005041</v>
      </c>
    </row>
    <row r="25" spans="1:12" x14ac:dyDescent="0.25">
      <c r="A25" s="57" t="s">
        <v>16</v>
      </c>
      <c r="B25" s="58" t="s">
        <v>178</v>
      </c>
      <c r="C25" s="85">
        <v>65005677.969999999</v>
      </c>
      <c r="D25" s="85">
        <v>1660370.07</v>
      </c>
      <c r="E25" s="85">
        <v>45580902.450000003</v>
      </c>
      <c r="F25" s="85">
        <v>0</v>
      </c>
      <c r="G25" s="85">
        <v>45580902.450000003</v>
      </c>
      <c r="H25" s="85">
        <v>65005677.969999999</v>
      </c>
      <c r="I25" s="143">
        <f t="shared" ref="I25:I33" si="8">C25*0.1</f>
        <v>6500567.7970000003</v>
      </c>
      <c r="J25" s="150">
        <f t="shared" ref="J25:J33" si="9">SUM(I$24:I$33)</f>
        <v>110039026.38299999</v>
      </c>
      <c r="K25" s="150">
        <f t="shared" ref="K25:K33" si="10">SUM(D$24:D$33)</f>
        <v>22195219.68</v>
      </c>
      <c r="L25" s="59">
        <f t="shared" ref="L25:L33" si="11">(J25/K25)^(1/13)-1</f>
        <v>0.13105477561005041</v>
      </c>
    </row>
    <row r="26" spans="1:12" x14ac:dyDescent="0.25">
      <c r="A26" s="57" t="s">
        <v>188</v>
      </c>
      <c r="B26" s="58" t="s">
        <v>187</v>
      </c>
      <c r="C26" s="85">
        <v>221096135.98999998</v>
      </c>
      <c r="D26" s="85">
        <v>4523797.99</v>
      </c>
      <c r="E26" s="85">
        <v>195352057.94999999</v>
      </c>
      <c r="F26" s="85">
        <v>0</v>
      </c>
      <c r="G26" s="85">
        <v>195352057.94999999</v>
      </c>
      <c r="H26" s="85">
        <v>221096135.98999998</v>
      </c>
      <c r="I26" s="143">
        <f t="shared" si="8"/>
        <v>22109613.598999999</v>
      </c>
      <c r="J26" s="150">
        <f t="shared" si="9"/>
        <v>110039026.38299999</v>
      </c>
      <c r="K26" s="150">
        <f t="shared" si="10"/>
        <v>22195219.68</v>
      </c>
      <c r="L26" s="59">
        <f t="shared" si="11"/>
        <v>0.13105477561005041</v>
      </c>
    </row>
    <row r="27" spans="1:12" x14ac:dyDescent="0.25">
      <c r="A27" s="57" t="s">
        <v>189</v>
      </c>
      <c r="B27" s="58" t="s">
        <v>187</v>
      </c>
      <c r="C27" s="85">
        <v>122306363.84999999</v>
      </c>
      <c r="D27" s="85">
        <v>3278536.21</v>
      </c>
      <c r="E27" s="85">
        <v>83631722.5</v>
      </c>
      <c r="F27" s="85">
        <v>0</v>
      </c>
      <c r="G27" s="85">
        <v>83631722.5</v>
      </c>
      <c r="H27" s="85">
        <v>122306363.84999999</v>
      </c>
      <c r="I27" s="143">
        <f t="shared" si="8"/>
        <v>12230636.385</v>
      </c>
      <c r="J27" s="150">
        <f t="shared" si="9"/>
        <v>110039026.38299999</v>
      </c>
      <c r="K27" s="150">
        <f t="shared" si="10"/>
        <v>22195219.68</v>
      </c>
      <c r="L27" s="59">
        <f t="shared" si="11"/>
        <v>0.13105477561005041</v>
      </c>
    </row>
    <row r="28" spans="1:12" x14ac:dyDescent="0.25">
      <c r="A28" s="57" t="s">
        <v>190</v>
      </c>
      <c r="B28" s="58" t="s">
        <v>187</v>
      </c>
      <c r="C28" s="85">
        <v>89949688.699999988</v>
      </c>
      <c r="D28" s="85">
        <v>332879.45</v>
      </c>
      <c r="E28" s="85">
        <v>87246951.979999989</v>
      </c>
      <c r="F28" s="85">
        <v>0</v>
      </c>
      <c r="G28" s="85">
        <v>87246951.979999989</v>
      </c>
      <c r="H28" s="85">
        <v>89949688.699999988</v>
      </c>
      <c r="I28" s="143">
        <f t="shared" si="8"/>
        <v>8994968.8699999992</v>
      </c>
      <c r="J28" s="150">
        <f t="shared" si="9"/>
        <v>110039026.38299999</v>
      </c>
      <c r="K28" s="150">
        <f t="shared" si="10"/>
        <v>22195219.68</v>
      </c>
      <c r="L28" s="59">
        <f t="shared" si="11"/>
        <v>0.13105477561005041</v>
      </c>
    </row>
    <row r="29" spans="1:12" x14ac:dyDescent="0.25">
      <c r="A29" s="57" t="s">
        <v>191</v>
      </c>
      <c r="B29" s="58" t="s">
        <v>187</v>
      </c>
      <c r="C29" s="85">
        <v>54584295.009999998</v>
      </c>
      <c r="D29" s="85">
        <v>1509189.94</v>
      </c>
      <c r="E29" s="85">
        <v>45778948.259999998</v>
      </c>
      <c r="F29" s="85">
        <v>0</v>
      </c>
      <c r="G29" s="85">
        <v>45778948.259999998</v>
      </c>
      <c r="H29" s="85">
        <v>54584295.009999998</v>
      </c>
      <c r="I29" s="143">
        <f t="shared" si="8"/>
        <v>5458429.5010000002</v>
      </c>
      <c r="J29" s="150">
        <f t="shared" si="9"/>
        <v>110039026.38299999</v>
      </c>
      <c r="K29" s="150">
        <f t="shared" si="10"/>
        <v>22195219.68</v>
      </c>
      <c r="L29" s="59">
        <f t="shared" si="11"/>
        <v>0.13105477561005041</v>
      </c>
    </row>
    <row r="30" spans="1:12" x14ac:dyDescent="0.25">
      <c r="A30" s="57" t="s">
        <v>192</v>
      </c>
      <c r="B30" s="58" t="s">
        <v>187</v>
      </c>
      <c r="C30" s="85">
        <v>116681763.11</v>
      </c>
      <c r="D30" s="85">
        <v>2703919.3200000003</v>
      </c>
      <c r="E30" s="85">
        <v>70412448.439999998</v>
      </c>
      <c r="F30" s="85">
        <v>0</v>
      </c>
      <c r="G30" s="85">
        <v>70412448.439999998</v>
      </c>
      <c r="H30" s="85">
        <v>116681763.11</v>
      </c>
      <c r="I30" s="143">
        <f t="shared" si="8"/>
        <v>11668176.311000001</v>
      </c>
      <c r="J30" s="150">
        <f t="shared" si="9"/>
        <v>110039026.38299999</v>
      </c>
      <c r="K30" s="150">
        <f t="shared" si="10"/>
        <v>22195219.68</v>
      </c>
      <c r="L30" s="59">
        <f t="shared" si="11"/>
        <v>0.13105477561005041</v>
      </c>
    </row>
    <row r="31" spans="1:12" x14ac:dyDescent="0.25">
      <c r="A31" s="57" t="s">
        <v>193</v>
      </c>
      <c r="B31" s="58" t="s">
        <v>187</v>
      </c>
      <c r="C31" s="85">
        <v>96755681.879999995</v>
      </c>
      <c r="D31" s="85">
        <v>2143472.62</v>
      </c>
      <c r="E31" s="85">
        <v>42836422.670000002</v>
      </c>
      <c r="F31" s="85">
        <v>0</v>
      </c>
      <c r="G31" s="85">
        <v>42836422.670000002</v>
      </c>
      <c r="H31" s="85">
        <v>96755681.879999995</v>
      </c>
      <c r="I31" s="143">
        <f t="shared" si="8"/>
        <v>9675568.1879999992</v>
      </c>
      <c r="J31" s="150">
        <f t="shared" si="9"/>
        <v>110039026.38299999</v>
      </c>
      <c r="K31" s="150">
        <f t="shared" si="10"/>
        <v>22195219.68</v>
      </c>
      <c r="L31" s="59">
        <f t="shared" si="11"/>
        <v>0.13105477561005041</v>
      </c>
    </row>
    <row r="32" spans="1:12" x14ac:dyDescent="0.25">
      <c r="A32" s="57" t="s">
        <v>194</v>
      </c>
      <c r="B32" s="58" t="s">
        <v>187</v>
      </c>
      <c r="C32" s="85">
        <v>77724263.800000012</v>
      </c>
      <c r="D32" s="85">
        <v>836457.85</v>
      </c>
      <c r="E32" s="85">
        <v>43638948.439999998</v>
      </c>
      <c r="F32" s="85">
        <v>0</v>
      </c>
      <c r="G32" s="85">
        <v>43638948.439999998</v>
      </c>
      <c r="H32" s="85">
        <v>77724263.800000012</v>
      </c>
      <c r="I32" s="143">
        <f t="shared" si="8"/>
        <v>7772426.3800000018</v>
      </c>
      <c r="J32" s="150">
        <f t="shared" si="9"/>
        <v>110039026.38299999</v>
      </c>
      <c r="K32" s="150">
        <f t="shared" si="10"/>
        <v>22195219.68</v>
      </c>
      <c r="L32" s="59">
        <f t="shared" si="11"/>
        <v>0.13105477561005041</v>
      </c>
    </row>
    <row r="33" spans="1:12" ht="15.75" thickBot="1" x14ac:dyDescent="0.3">
      <c r="A33" s="60" t="s">
        <v>180</v>
      </c>
      <c r="B33" s="61" t="s">
        <v>178</v>
      </c>
      <c r="C33" s="86">
        <v>103407705.81999999</v>
      </c>
      <c r="D33" s="86">
        <v>2430042.23</v>
      </c>
      <c r="E33" s="86">
        <v>83015472.090000004</v>
      </c>
      <c r="F33" s="86">
        <v>0</v>
      </c>
      <c r="G33" s="86">
        <v>83015472.090000004</v>
      </c>
      <c r="H33" s="86">
        <v>103407705.81999999</v>
      </c>
      <c r="I33" s="144">
        <f t="shared" si="8"/>
        <v>10340770.582</v>
      </c>
      <c r="J33" s="151">
        <f t="shared" si="9"/>
        <v>110039026.38299999</v>
      </c>
      <c r="K33" s="151">
        <f t="shared" si="10"/>
        <v>22195219.68</v>
      </c>
      <c r="L33" s="62">
        <f t="shared" si="11"/>
        <v>0.13105477561005041</v>
      </c>
    </row>
    <row r="38" spans="1:12" x14ac:dyDescent="0.25">
      <c r="A38" t="s">
        <v>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opLeftCell="C1" workbookViewId="0">
      <selection activeCell="I17" sqref="I17"/>
    </sheetView>
  </sheetViews>
  <sheetFormatPr defaultRowHeight="15" x14ac:dyDescent="0.25"/>
  <cols>
    <col min="1" max="1" width="30" bestFit="1" customWidth="1"/>
    <col min="2" max="2" width="27.42578125" customWidth="1"/>
    <col min="3" max="3" width="27.28515625" bestFit="1" customWidth="1"/>
    <col min="4" max="8" width="13.28515625" bestFit="1" customWidth="1"/>
    <col min="9" max="9" width="13.7109375" customWidth="1"/>
    <col min="10" max="10" width="13.28515625" bestFit="1" customWidth="1"/>
    <col min="11" max="11" width="13" customWidth="1"/>
    <col min="12" max="15" width="13.28515625" bestFit="1" customWidth="1"/>
    <col min="16" max="16" width="10.140625" bestFit="1" customWidth="1"/>
    <col min="17" max="17" width="11.140625" bestFit="1" customWidth="1"/>
    <col min="21" max="21" width="32.85546875" customWidth="1"/>
    <col min="22" max="22" width="15" bestFit="1" customWidth="1"/>
    <col min="23" max="31" width="12.7109375" bestFit="1" customWidth="1"/>
    <col min="43" max="43" width="10.140625" bestFit="1" customWidth="1"/>
  </cols>
  <sheetData>
    <row r="1" spans="1:15" x14ac:dyDescent="0.25">
      <c r="A1" t="s">
        <v>213</v>
      </c>
      <c r="B1" s="84" t="s">
        <v>212</v>
      </c>
    </row>
    <row r="2" spans="1:15" ht="45" x14ac:dyDescent="0.25">
      <c r="B2" s="68" t="s">
        <v>197</v>
      </c>
      <c r="C2" s="68" t="s">
        <v>198</v>
      </c>
      <c r="D2" s="69" t="s">
        <v>199</v>
      </c>
      <c r="G2" s="254" t="s">
        <v>200</v>
      </c>
      <c r="H2" s="255"/>
      <c r="I2" s="255"/>
      <c r="J2" s="79" t="s">
        <v>177</v>
      </c>
      <c r="K2" s="80" t="s">
        <v>201</v>
      </c>
    </row>
    <row r="3" spans="1:15" x14ac:dyDescent="0.25">
      <c r="B3" s="70" t="s">
        <v>202</v>
      </c>
      <c r="C3" s="70" t="s">
        <v>203</v>
      </c>
      <c r="D3" s="71">
        <v>70479.199999999997</v>
      </c>
      <c r="G3" s="256" t="s">
        <v>211</v>
      </c>
      <c r="H3" s="257"/>
      <c r="I3" s="257"/>
      <c r="J3" s="3">
        <f>'RE Growth Rate (Slide 19) '!L3</f>
        <v>8.3486858853496049E-2</v>
      </c>
      <c r="K3" s="81">
        <f>'RE Growth Rate (Slide 19) '!I3</f>
        <v>13001135.594000001</v>
      </c>
    </row>
    <row r="4" spans="1:15" x14ac:dyDescent="0.25">
      <c r="B4" s="70" t="s">
        <v>202</v>
      </c>
      <c r="C4" s="70" t="s">
        <v>204</v>
      </c>
      <c r="D4" s="71">
        <v>1589890.87</v>
      </c>
      <c r="G4" s="256" t="s">
        <v>205</v>
      </c>
      <c r="H4" s="257"/>
      <c r="I4" s="257"/>
      <c r="J4" s="3">
        <f>'RE Growth Rate (Slide 19) '!L13</f>
        <v>0.13255819359335153</v>
      </c>
      <c r="K4" s="81">
        <f>'RE Growth Rate (Slide 19) '!I13</f>
        <v>6500567.7970000003</v>
      </c>
    </row>
    <row r="5" spans="1:15" x14ac:dyDescent="0.25">
      <c r="C5" t="s">
        <v>206</v>
      </c>
      <c r="D5" s="2">
        <f>SUM(D3:D4)</f>
        <v>1660370.07</v>
      </c>
      <c r="G5" s="258" t="s">
        <v>209</v>
      </c>
      <c r="H5" s="259"/>
      <c r="I5" s="259"/>
      <c r="J5" s="82">
        <f>'RE Growth Rate (Slide 19) '!L25</f>
        <v>0.13105477561005041</v>
      </c>
      <c r="K5" s="83">
        <f>'RE Growth Rate (Slide 19) '!I25</f>
        <v>6500567.7970000003</v>
      </c>
    </row>
    <row r="7" spans="1:15" x14ac:dyDescent="0.25">
      <c r="B7" t="s">
        <v>207</v>
      </c>
    </row>
    <row r="8" spans="1:15" ht="60" x14ac:dyDescent="0.25">
      <c r="A8" s="73" t="s">
        <v>208</v>
      </c>
      <c r="B8" s="73">
        <v>2012</v>
      </c>
      <c r="C8" s="73">
        <v>2017</v>
      </c>
      <c r="D8" s="73">
        <v>2018</v>
      </c>
      <c r="E8" s="73">
        <v>2019</v>
      </c>
      <c r="F8" s="75" t="s">
        <v>114</v>
      </c>
      <c r="G8" s="72" t="s">
        <v>115</v>
      </c>
      <c r="H8" s="72" t="s">
        <v>116</v>
      </c>
      <c r="I8" s="72" t="s">
        <v>117</v>
      </c>
      <c r="J8" s="72" t="s">
        <v>118</v>
      </c>
      <c r="K8" s="72" t="s">
        <v>119</v>
      </c>
      <c r="L8" s="72" t="s">
        <v>120</v>
      </c>
      <c r="M8" s="72" t="s">
        <v>121</v>
      </c>
      <c r="N8" s="72" t="s">
        <v>122</v>
      </c>
      <c r="O8" s="72" t="s">
        <v>123</v>
      </c>
    </row>
    <row r="9" spans="1:15" x14ac:dyDescent="0.25">
      <c r="A9" s="73" t="s">
        <v>210</v>
      </c>
      <c r="B9" s="76">
        <f>D5</f>
        <v>1660370.07</v>
      </c>
      <c r="C9" s="77">
        <f>MIN((B9*(1+$J3)),K3)</f>
        <v>1798989.1516786595</v>
      </c>
      <c r="D9" s="77">
        <f t="shared" ref="D9:O9" si="0">MIN((C9*(1+$J3)),L3)</f>
        <v>1949181.1050638263</v>
      </c>
      <c r="E9" s="77">
        <f t="shared" si="0"/>
        <v>2111912.1128621916</v>
      </c>
      <c r="F9" s="78">
        <f t="shared" si="0"/>
        <v>2288229.0213397061</v>
      </c>
      <c r="G9" s="78">
        <f t="shared" si="0"/>
        <v>2479266.0746687674</v>
      </c>
      <c r="H9" s="78">
        <f t="shared" si="0"/>
        <v>2686252.2115048999</v>
      </c>
      <c r="I9" s="78">
        <f t="shared" si="0"/>
        <v>2910518.9707317012</v>
      </c>
      <c r="J9" s="78">
        <f t="shared" si="0"/>
        <v>3153509.0572316013</v>
      </c>
      <c r="K9" s="78">
        <f t="shared" si="0"/>
        <v>3416785.6227859175</v>
      </c>
      <c r="L9" s="78">
        <f t="shared" si="0"/>
        <v>3702042.3218080997</v>
      </c>
      <c r="M9" s="78">
        <f t="shared" si="0"/>
        <v>4011114.2065985613</v>
      </c>
      <c r="N9" s="78">
        <f t="shared" si="0"/>
        <v>4345989.5322101079</v>
      </c>
      <c r="O9" s="78">
        <f t="shared" si="0"/>
        <v>4708822.5468645049</v>
      </c>
    </row>
    <row r="10" spans="1:15" x14ac:dyDescent="0.25">
      <c r="A10" s="73" t="s">
        <v>205</v>
      </c>
      <c r="B10" s="76">
        <f>D5</f>
        <v>1660370.07</v>
      </c>
      <c r="C10" s="77">
        <f>MIN((B10*(1+$J4)),$K$4)</f>
        <v>1880465.7271756667</v>
      </c>
      <c r="D10" s="77">
        <f t="shared" ref="D10:O11" si="1">MIN((C10*(1+$J4)),$K$4)</f>
        <v>2129736.8670842815</v>
      </c>
      <c r="E10" s="77">
        <f t="shared" si="1"/>
        <v>2412050.9390141377</v>
      </c>
      <c r="F10" s="78">
        <f t="shared" si="1"/>
        <v>2731788.0543449991</v>
      </c>
      <c r="G10" s="78">
        <f t="shared" si="1"/>
        <v>3093908.9441088685</v>
      </c>
      <c r="H10" s="78">
        <f t="shared" si="1"/>
        <v>3504031.9248822536</v>
      </c>
      <c r="I10" s="78">
        <f t="shared" si="1"/>
        <v>3968520.0671380796</v>
      </c>
      <c r="J10" s="78">
        <f t="shared" si="1"/>
        <v>4494579.9184768694</v>
      </c>
      <c r="K10" s="78">
        <f t="shared" si="1"/>
        <v>5090373.3134311168</v>
      </c>
      <c r="L10" s="78">
        <f t="shared" si="1"/>
        <v>5765144.0045753494</v>
      </c>
      <c r="M10" s="78">
        <f t="shared" si="1"/>
        <v>6500567.7970000003</v>
      </c>
      <c r="N10" s="78">
        <f t="shared" si="1"/>
        <v>6500567.7970000003</v>
      </c>
      <c r="O10" s="78">
        <f t="shared" si="1"/>
        <v>6500567.7970000003</v>
      </c>
    </row>
    <row r="11" spans="1:15" ht="15" customHeight="1" x14ac:dyDescent="0.25">
      <c r="A11" s="73" t="s">
        <v>209</v>
      </c>
      <c r="B11" s="76">
        <f>D5</f>
        <v>1660370.07</v>
      </c>
      <c r="C11" s="77">
        <f>MIN((B11*(1+$J5)),$K$4)</f>
        <v>1877969.4969534937</v>
      </c>
      <c r="D11" s="77">
        <f t="shared" si="1"/>
        <v>2124086.3679792532</v>
      </c>
      <c r="E11" s="77">
        <f t="shared" si="1"/>
        <v>2402458.0303111412</v>
      </c>
      <c r="F11" s="78">
        <f t="shared" si="1"/>
        <v>2717311.6283861315</v>
      </c>
      <c r="G11" s="78">
        <f t="shared" si="1"/>
        <v>3073428.2941068565</v>
      </c>
      <c r="H11" s="78">
        <f t="shared" si="1"/>
        <v>3476215.7495446107</v>
      </c>
      <c r="I11" s="78">
        <f t="shared" si="1"/>
        <v>3931790.4245733027</v>
      </c>
      <c r="J11" s="78">
        <f t="shared" si="1"/>
        <v>4447070.3364115022</v>
      </c>
      <c r="K11" s="78">
        <f t="shared" si="1"/>
        <v>5029880.141472023</v>
      </c>
      <c r="L11" s="78">
        <f t="shared" si="1"/>
        <v>5689069.9547580872</v>
      </c>
      <c r="M11" s="78">
        <f t="shared" si="1"/>
        <v>6434649.7411087882</v>
      </c>
      <c r="N11" s="78">
        <f t="shared" si="1"/>
        <v>6500567.7970000003</v>
      </c>
      <c r="O11" s="78">
        <f t="shared" si="1"/>
        <v>6500567.7970000003</v>
      </c>
    </row>
    <row r="18" spans="21:21" x14ac:dyDescent="0.25">
      <c r="U18" s="74"/>
    </row>
  </sheetData>
  <mergeCells count="4">
    <mergeCell ref="G2:I2"/>
    <mergeCell ref="G3:I3"/>
    <mergeCell ref="G4:I4"/>
    <mergeCell ref="G5:I5"/>
  </mergeCells>
  <hyperlinks>
    <hyperlink ref="B1" r:id="rId1" display="http://www.eia.gov/electricity/data/state/annual_generation_state.xl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workbookViewId="0">
      <selection activeCell="S16" sqref="S16"/>
    </sheetView>
  </sheetViews>
  <sheetFormatPr defaultRowHeight="15" x14ac:dyDescent="0.25"/>
  <cols>
    <col min="1" max="1" width="8.85546875" style="172" bestFit="1" customWidth="1"/>
    <col min="2" max="2" width="5.5703125" style="172" bestFit="1" customWidth="1"/>
    <col min="3" max="3" width="23.42578125" style="172" bestFit="1" customWidth="1"/>
    <col min="4" max="4" width="6" style="172" bestFit="1" customWidth="1"/>
    <col min="5" max="5" width="8.28515625" style="172" bestFit="1" customWidth="1"/>
    <col min="6" max="6" width="5" style="172" bestFit="1" customWidth="1"/>
    <col min="7" max="7" width="6.7109375" style="172" bestFit="1" customWidth="1"/>
    <col min="8" max="8" width="9" style="172" bestFit="1" customWidth="1"/>
    <col min="9" max="9" width="10" style="172" bestFit="1" customWidth="1"/>
    <col min="10" max="10" width="8.85546875" style="172" bestFit="1" customWidth="1"/>
    <col min="11" max="13" width="9.140625" style="172"/>
    <col min="14" max="14" width="8.7109375" style="172" bestFit="1" customWidth="1"/>
    <col min="15" max="15" width="13.42578125" style="172" bestFit="1" customWidth="1"/>
    <col min="16" max="16" width="8.42578125" style="172" bestFit="1" customWidth="1"/>
    <col min="17" max="17" width="6.42578125" style="172" bestFit="1" customWidth="1"/>
    <col min="18" max="16384" width="9.140625" style="172"/>
  </cols>
  <sheetData>
    <row r="1" spans="1:17" ht="105" x14ac:dyDescent="0.25">
      <c r="A1" s="173" t="s">
        <v>0</v>
      </c>
      <c r="B1" s="173" t="s">
        <v>1</v>
      </c>
      <c r="C1" s="173" t="s">
        <v>2</v>
      </c>
      <c r="D1" s="174" t="s">
        <v>3</v>
      </c>
      <c r="E1" s="175" t="s">
        <v>4</v>
      </c>
      <c r="F1" s="176" t="s">
        <v>5</v>
      </c>
      <c r="G1" s="176" t="s">
        <v>6</v>
      </c>
      <c r="H1" s="174" t="s">
        <v>7</v>
      </c>
      <c r="I1" s="178" t="s">
        <v>8</v>
      </c>
      <c r="J1" s="179" t="s">
        <v>9</v>
      </c>
      <c r="K1" s="178" t="s">
        <v>228</v>
      </c>
      <c r="L1" s="178" t="s">
        <v>229</v>
      </c>
      <c r="M1" s="178" t="s">
        <v>10</v>
      </c>
      <c r="N1" s="176" t="s">
        <v>11</v>
      </c>
      <c r="O1" s="176" t="s">
        <v>12</v>
      </c>
      <c r="P1" s="176" t="s">
        <v>13</v>
      </c>
      <c r="Q1" s="176" t="s">
        <v>14</v>
      </c>
    </row>
    <row r="2" spans="1:17" x14ac:dyDescent="0.25">
      <c r="A2" s="172" t="s">
        <v>15</v>
      </c>
      <c r="B2" s="180" t="s">
        <v>16</v>
      </c>
      <c r="C2" s="180" t="s">
        <v>17</v>
      </c>
      <c r="D2" s="180">
        <v>6138</v>
      </c>
      <c r="E2" s="180" t="s">
        <v>18</v>
      </c>
      <c r="F2" s="180" t="s">
        <v>19</v>
      </c>
      <c r="G2" s="180" t="s">
        <v>20</v>
      </c>
      <c r="H2" s="180">
        <v>558</v>
      </c>
      <c r="I2" s="181">
        <v>2828214</v>
      </c>
      <c r="L2" s="181">
        <f t="shared" ref="L2:L24" si="0">I2</f>
        <v>2828214</v>
      </c>
      <c r="M2" s="181">
        <v>3042812.9849999999</v>
      </c>
      <c r="O2" s="182" t="s">
        <v>21</v>
      </c>
      <c r="P2" s="180" t="s">
        <v>22</v>
      </c>
      <c r="Q2" s="180" t="s">
        <v>23</v>
      </c>
    </row>
    <row r="3" spans="1:17" x14ac:dyDescent="0.25">
      <c r="A3" s="172" t="s">
        <v>15</v>
      </c>
      <c r="B3" s="180" t="s">
        <v>16</v>
      </c>
      <c r="C3" s="180" t="s">
        <v>24</v>
      </c>
      <c r="D3" s="180">
        <v>6641</v>
      </c>
      <c r="E3" s="180" t="s">
        <v>18</v>
      </c>
      <c r="F3" s="180" t="s">
        <v>19</v>
      </c>
      <c r="G3" s="180" t="s">
        <v>20</v>
      </c>
      <c r="H3" s="180">
        <v>850</v>
      </c>
      <c r="I3" s="181">
        <v>5166836</v>
      </c>
      <c r="L3" s="181">
        <f t="shared" si="0"/>
        <v>5166836</v>
      </c>
      <c r="M3" s="181">
        <v>5574908.5580000002</v>
      </c>
      <c r="O3" s="182" t="s">
        <v>21</v>
      </c>
      <c r="P3" s="180" t="s">
        <v>22</v>
      </c>
      <c r="Q3" s="180" t="s">
        <v>23</v>
      </c>
    </row>
    <row r="4" spans="1:17" x14ac:dyDescent="0.25">
      <c r="A4" s="172" t="s">
        <v>15</v>
      </c>
      <c r="B4" s="180" t="s">
        <v>16</v>
      </c>
      <c r="C4" s="180" t="s">
        <v>24</v>
      </c>
      <c r="D4" s="180">
        <v>6641</v>
      </c>
      <c r="E4" s="180" t="s">
        <v>25</v>
      </c>
      <c r="F4" s="180" t="s">
        <v>19</v>
      </c>
      <c r="G4" s="180" t="s">
        <v>20</v>
      </c>
      <c r="H4" s="180">
        <v>850</v>
      </c>
      <c r="I4" s="181">
        <v>6223253</v>
      </c>
      <c r="L4" s="181">
        <f t="shared" si="0"/>
        <v>6223253</v>
      </c>
      <c r="M4" s="181">
        <v>6779345.568</v>
      </c>
      <c r="O4" s="182" t="s">
        <v>21</v>
      </c>
      <c r="P4" s="180" t="s">
        <v>22</v>
      </c>
      <c r="Q4" s="180" t="s">
        <v>23</v>
      </c>
    </row>
    <row r="5" spans="1:17" x14ac:dyDescent="0.25">
      <c r="A5" s="172" t="s">
        <v>15</v>
      </c>
      <c r="B5" s="180" t="s">
        <v>16</v>
      </c>
      <c r="C5" s="180" t="s">
        <v>26</v>
      </c>
      <c r="D5" s="180">
        <v>6009</v>
      </c>
      <c r="E5" s="180" t="s">
        <v>18</v>
      </c>
      <c r="F5" s="180" t="s">
        <v>19</v>
      </c>
      <c r="G5" s="180" t="s">
        <v>20</v>
      </c>
      <c r="H5" s="180">
        <v>850</v>
      </c>
      <c r="I5" s="181">
        <v>5160991</v>
      </c>
      <c r="L5" s="181">
        <f t="shared" si="0"/>
        <v>5160991</v>
      </c>
      <c r="M5" s="181">
        <v>5524168.7110000001</v>
      </c>
      <c r="O5" s="182" t="s">
        <v>21</v>
      </c>
      <c r="P5" s="180" t="s">
        <v>22</v>
      </c>
      <c r="Q5" s="180" t="s">
        <v>23</v>
      </c>
    </row>
    <row r="6" spans="1:17" x14ac:dyDescent="0.25">
      <c r="A6" s="172" t="s">
        <v>15</v>
      </c>
      <c r="B6" s="180" t="s">
        <v>16</v>
      </c>
      <c r="C6" s="180" t="s">
        <v>26</v>
      </c>
      <c r="D6" s="180">
        <v>6009</v>
      </c>
      <c r="E6" s="180" t="s">
        <v>25</v>
      </c>
      <c r="F6" s="180" t="s">
        <v>19</v>
      </c>
      <c r="G6" s="180" t="s">
        <v>20</v>
      </c>
      <c r="H6" s="180">
        <v>850</v>
      </c>
      <c r="I6" s="181">
        <v>5641915</v>
      </c>
      <c r="L6" s="181">
        <f t="shared" si="0"/>
        <v>5641915</v>
      </c>
      <c r="M6" s="181">
        <v>5921449.0060000001</v>
      </c>
      <c r="O6" s="182" t="s">
        <v>21</v>
      </c>
      <c r="P6" s="180" t="s">
        <v>22</v>
      </c>
      <c r="Q6" s="180" t="s">
        <v>23</v>
      </c>
    </row>
    <row r="7" spans="1:17" x14ac:dyDescent="0.25">
      <c r="A7" s="172" t="s">
        <v>27</v>
      </c>
      <c r="B7" s="180" t="s">
        <v>16</v>
      </c>
      <c r="C7" s="180" t="s">
        <v>28</v>
      </c>
      <c r="D7" s="180">
        <v>55340</v>
      </c>
      <c r="E7" s="180" t="s">
        <v>29</v>
      </c>
      <c r="F7" s="180" t="s">
        <v>30</v>
      </c>
      <c r="G7" s="180" t="s">
        <v>31</v>
      </c>
      <c r="H7" s="180">
        <v>199</v>
      </c>
      <c r="I7" s="181">
        <v>98987.992636229756</v>
      </c>
      <c r="L7" s="181">
        <f t="shared" si="0"/>
        <v>98987.992636229756</v>
      </c>
      <c r="M7" s="181">
        <v>48902.973938144329</v>
      </c>
      <c r="O7" s="182" t="s">
        <v>21</v>
      </c>
      <c r="P7" s="180" t="s">
        <v>22</v>
      </c>
      <c r="Q7" s="180" t="s">
        <v>23</v>
      </c>
    </row>
    <row r="8" spans="1:17" x14ac:dyDescent="0.25">
      <c r="A8" s="172" t="s">
        <v>27</v>
      </c>
      <c r="B8" s="180" t="s">
        <v>16</v>
      </c>
      <c r="C8" s="180" t="s">
        <v>28</v>
      </c>
      <c r="D8" s="180">
        <v>55340</v>
      </c>
      <c r="E8" s="180" t="s">
        <v>32</v>
      </c>
      <c r="F8" s="180" t="s">
        <v>30</v>
      </c>
      <c r="G8" s="180" t="s">
        <v>31</v>
      </c>
      <c r="H8" s="180">
        <v>199</v>
      </c>
      <c r="I8" s="181">
        <v>98987.992636229756</v>
      </c>
      <c r="L8" s="181">
        <f t="shared" si="0"/>
        <v>98987.992636229756</v>
      </c>
      <c r="M8" s="181">
        <v>48902.973938144329</v>
      </c>
      <c r="O8" s="182" t="s">
        <v>21</v>
      </c>
      <c r="P8" s="180" t="s">
        <v>22</v>
      </c>
      <c r="Q8" s="180" t="s">
        <v>23</v>
      </c>
    </row>
    <row r="9" spans="1:17" x14ac:dyDescent="0.25">
      <c r="A9" s="172" t="s">
        <v>27</v>
      </c>
      <c r="B9" s="180" t="s">
        <v>16</v>
      </c>
      <c r="C9" s="180" t="s">
        <v>28</v>
      </c>
      <c r="D9" s="180">
        <v>55340</v>
      </c>
      <c r="E9" s="180" t="s">
        <v>33</v>
      </c>
      <c r="F9" s="180" t="s">
        <v>30</v>
      </c>
      <c r="G9" s="180" t="s">
        <v>34</v>
      </c>
      <c r="H9" s="180">
        <v>281</v>
      </c>
      <c r="I9" s="181">
        <v>139777.01472754049</v>
      </c>
      <c r="L9" s="181">
        <f t="shared" si="0"/>
        <v>139777.01472754049</v>
      </c>
      <c r="M9" s="181">
        <v>69053.948123711336</v>
      </c>
      <c r="O9" s="182" t="s">
        <v>21</v>
      </c>
      <c r="P9" s="180" t="s">
        <v>22</v>
      </c>
      <c r="Q9" s="180" t="s">
        <v>23</v>
      </c>
    </row>
    <row r="10" spans="1:17" x14ac:dyDescent="0.25">
      <c r="A10" s="172" t="s">
        <v>27</v>
      </c>
      <c r="B10" s="180" t="s">
        <v>16</v>
      </c>
      <c r="C10" s="180" t="s">
        <v>35</v>
      </c>
      <c r="D10" s="180">
        <v>55221</v>
      </c>
      <c r="E10" s="180" t="s">
        <v>36</v>
      </c>
      <c r="F10" s="180" t="s">
        <v>30</v>
      </c>
      <c r="G10" s="180" t="s">
        <v>31</v>
      </c>
      <c r="H10" s="180">
        <v>51</v>
      </c>
      <c r="I10" s="181">
        <v>13653.027522935779</v>
      </c>
      <c r="L10" s="181">
        <f t="shared" si="0"/>
        <v>13653.027522935779</v>
      </c>
      <c r="M10" s="181">
        <v>6716.2240283569645</v>
      </c>
      <c r="O10" s="182" t="s">
        <v>21</v>
      </c>
      <c r="P10" s="180" t="s">
        <v>22</v>
      </c>
      <c r="Q10" s="180" t="s">
        <v>23</v>
      </c>
    </row>
    <row r="11" spans="1:17" x14ac:dyDescent="0.25">
      <c r="A11" s="172" t="s">
        <v>27</v>
      </c>
      <c r="B11" s="180" t="s">
        <v>16</v>
      </c>
      <c r="C11" s="180" t="s">
        <v>35</v>
      </c>
      <c r="D11" s="180">
        <v>55221</v>
      </c>
      <c r="E11" s="180" t="s">
        <v>37</v>
      </c>
      <c r="F11" s="180" t="s">
        <v>30</v>
      </c>
      <c r="G11" s="180" t="s">
        <v>31</v>
      </c>
      <c r="H11" s="180">
        <v>51</v>
      </c>
      <c r="I11" s="181">
        <v>13653.027522935779</v>
      </c>
      <c r="L11" s="181">
        <f t="shared" si="0"/>
        <v>13653.027522935779</v>
      </c>
      <c r="M11" s="181">
        <v>6716.2240283569645</v>
      </c>
      <c r="O11" s="182" t="s">
        <v>21</v>
      </c>
      <c r="P11" s="180" t="s">
        <v>22</v>
      </c>
      <c r="Q11" s="180" t="s">
        <v>23</v>
      </c>
    </row>
    <row r="12" spans="1:17" x14ac:dyDescent="0.25">
      <c r="A12" s="172" t="s">
        <v>27</v>
      </c>
      <c r="B12" s="180" t="s">
        <v>16</v>
      </c>
      <c r="C12" s="180" t="s">
        <v>35</v>
      </c>
      <c r="D12" s="180">
        <v>55221</v>
      </c>
      <c r="E12" s="180" t="s">
        <v>38</v>
      </c>
      <c r="F12" s="180" t="s">
        <v>30</v>
      </c>
      <c r="G12" s="180" t="s">
        <v>31</v>
      </c>
      <c r="H12" s="180">
        <v>51</v>
      </c>
      <c r="I12" s="181">
        <v>13653.027522935779</v>
      </c>
      <c r="L12" s="181">
        <f t="shared" si="0"/>
        <v>13653.027522935779</v>
      </c>
      <c r="M12" s="181">
        <v>6716.2240283569645</v>
      </c>
      <c r="O12" s="182" t="s">
        <v>21</v>
      </c>
      <c r="P12" s="180" t="s">
        <v>22</v>
      </c>
      <c r="Q12" s="180" t="s">
        <v>23</v>
      </c>
    </row>
    <row r="13" spans="1:17" x14ac:dyDescent="0.25">
      <c r="A13" s="172" t="s">
        <v>27</v>
      </c>
      <c r="B13" s="180" t="s">
        <v>16</v>
      </c>
      <c r="C13" s="180" t="s">
        <v>35</v>
      </c>
      <c r="D13" s="180">
        <v>55221</v>
      </c>
      <c r="E13" s="180" t="s">
        <v>39</v>
      </c>
      <c r="F13" s="180" t="s">
        <v>30</v>
      </c>
      <c r="G13" s="180" t="s">
        <v>31</v>
      </c>
      <c r="H13" s="180">
        <v>51</v>
      </c>
      <c r="I13" s="181">
        <v>13653.027522935779</v>
      </c>
      <c r="L13" s="181">
        <f t="shared" si="0"/>
        <v>13653.027522935779</v>
      </c>
      <c r="M13" s="181">
        <v>6716.2240283569645</v>
      </c>
      <c r="O13" s="182" t="s">
        <v>21</v>
      </c>
      <c r="P13" s="180" t="s">
        <v>22</v>
      </c>
      <c r="Q13" s="180" t="s">
        <v>23</v>
      </c>
    </row>
    <row r="14" spans="1:17" x14ac:dyDescent="0.25">
      <c r="A14" s="172" t="s">
        <v>27</v>
      </c>
      <c r="B14" s="180" t="s">
        <v>16</v>
      </c>
      <c r="C14" s="180" t="s">
        <v>35</v>
      </c>
      <c r="D14" s="180">
        <v>55221</v>
      </c>
      <c r="E14" s="180" t="s">
        <v>40</v>
      </c>
      <c r="F14" s="180" t="s">
        <v>30</v>
      </c>
      <c r="G14" s="180" t="s">
        <v>31</v>
      </c>
      <c r="H14" s="180">
        <v>51</v>
      </c>
      <c r="I14" s="181">
        <v>13653.027522935779</v>
      </c>
      <c r="L14" s="181">
        <f t="shared" si="0"/>
        <v>13653.027522935779</v>
      </c>
      <c r="M14" s="181">
        <v>6716.2240283569645</v>
      </c>
      <c r="O14" s="182" t="s">
        <v>21</v>
      </c>
      <c r="P14" s="180" t="s">
        <v>22</v>
      </c>
      <c r="Q14" s="180" t="s">
        <v>23</v>
      </c>
    </row>
    <row r="15" spans="1:17" x14ac:dyDescent="0.25">
      <c r="A15" s="172" t="s">
        <v>27</v>
      </c>
      <c r="B15" s="180" t="s">
        <v>16</v>
      </c>
      <c r="C15" s="180" t="s">
        <v>35</v>
      </c>
      <c r="D15" s="180">
        <v>55221</v>
      </c>
      <c r="E15" s="180" t="s">
        <v>41</v>
      </c>
      <c r="F15" s="180" t="s">
        <v>30</v>
      </c>
      <c r="G15" s="180" t="s">
        <v>31</v>
      </c>
      <c r="H15" s="180">
        <v>51</v>
      </c>
      <c r="I15" s="181">
        <v>13653.027522935779</v>
      </c>
      <c r="L15" s="181">
        <f t="shared" si="0"/>
        <v>13653.027522935779</v>
      </c>
      <c r="M15" s="181">
        <v>6716.2240283569645</v>
      </c>
      <c r="O15" s="182" t="s">
        <v>21</v>
      </c>
      <c r="P15" s="180" t="s">
        <v>22</v>
      </c>
      <c r="Q15" s="180" t="s">
        <v>23</v>
      </c>
    </row>
    <row r="16" spans="1:17" x14ac:dyDescent="0.25">
      <c r="A16" s="172" t="s">
        <v>27</v>
      </c>
      <c r="B16" s="180" t="s">
        <v>16</v>
      </c>
      <c r="C16" s="180" t="s">
        <v>35</v>
      </c>
      <c r="D16" s="180">
        <v>55221</v>
      </c>
      <c r="E16" s="180" t="s">
        <v>42</v>
      </c>
      <c r="F16" s="180" t="s">
        <v>30</v>
      </c>
      <c r="G16" s="180" t="s">
        <v>31</v>
      </c>
      <c r="H16" s="180">
        <v>83.5</v>
      </c>
      <c r="I16" s="181">
        <v>22353.48623853211</v>
      </c>
      <c r="L16" s="181">
        <f t="shared" si="0"/>
        <v>22353.48623853211</v>
      </c>
      <c r="M16" s="181">
        <v>10996.170713094245</v>
      </c>
      <c r="O16" s="182" t="s">
        <v>21</v>
      </c>
      <c r="P16" s="180" t="s">
        <v>22</v>
      </c>
      <c r="Q16" s="180" t="s">
        <v>23</v>
      </c>
    </row>
    <row r="17" spans="1:17" x14ac:dyDescent="0.25">
      <c r="A17" s="172" t="s">
        <v>27</v>
      </c>
      <c r="B17" s="180" t="s">
        <v>16</v>
      </c>
      <c r="C17" s="180" t="s">
        <v>35</v>
      </c>
      <c r="D17" s="180">
        <v>55221</v>
      </c>
      <c r="E17" s="180" t="s">
        <v>43</v>
      </c>
      <c r="F17" s="180" t="s">
        <v>30</v>
      </c>
      <c r="G17" s="180" t="s">
        <v>34</v>
      </c>
      <c r="H17" s="180">
        <v>105</v>
      </c>
      <c r="I17" s="181">
        <v>28109.174311926607</v>
      </c>
      <c r="L17" s="181">
        <f t="shared" si="0"/>
        <v>28109.174311926607</v>
      </c>
      <c r="M17" s="181">
        <v>13827.520058381986</v>
      </c>
      <c r="O17" s="182" t="s">
        <v>21</v>
      </c>
      <c r="P17" s="180" t="s">
        <v>22</v>
      </c>
      <c r="Q17" s="180" t="s">
        <v>23</v>
      </c>
    </row>
    <row r="18" spans="1:17" x14ac:dyDescent="0.25">
      <c r="A18" s="172" t="s">
        <v>27</v>
      </c>
      <c r="B18" s="180" t="s">
        <v>16</v>
      </c>
      <c r="C18" s="180" t="s">
        <v>35</v>
      </c>
      <c r="D18" s="180">
        <v>55221</v>
      </c>
      <c r="E18" s="180" t="s">
        <v>44</v>
      </c>
      <c r="F18" s="180" t="s">
        <v>30</v>
      </c>
      <c r="G18" s="180" t="s">
        <v>34</v>
      </c>
      <c r="H18" s="180">
        <v>105</v>
      </c>
      <c r="I18" s="181">
        <v>28109.174311926607</v>
      </c>
      <c r="L18" s="181">
        <f t="shared" si="0"/>
        <v>28109.174311926607</v>
      </c>
      <c r="M18" s="181">
        <v>13827.520058381986</v>
      </c>
      <c r="O18" s="182" t="s">
        <v>21</v>
      </c>
      <c r="P18" s="180" t="s">
        <v>22</v>
      </c>
      <c r="Q18" s="180" t="s">
        <v>23</v>
      </c>
    </row>
    <row r="19" spans="1:17" x14ac:dyDescent="0.25">
      <c r="A19" s="172" t="s">
        <v>27</v>
      </c>
      <c r="B19" s="180" t="s">
        <v>16</v>
      </c>
      <c r="C19" s="180" t="s">
        <v>45</v>
      </c>
      <c r="D19" s="180">
        <v>55714</v>
      </c>
      <c r="E19" s="180" t="s">
        <v>46</v>
      </c>
      <c r="F19" s="180" t="s">
        <v>30</v>
      </c>
      <c r="G19" s="180" t="s">
        <v>31</v>
      </c>
      <c r="H19" s="180">
        <v>242</v>
      </c>
      <c r="I19" s="181">
        <v>901257.30831099197</v>
      </c>
      <c r="L19" s="181">
        <f t="shared" si="0"/>
        <v>901257.30831099197</v>
      </c>
      <c r="M19" s="181">
        <v>381763.28833780158</v>
      </c>
      <c r="O19" s="182" t="s">
        <v>47</v>
      </c>
      <c r="P19" s="180" t="s">
        <v>22</v>
      </c>
      <c r="Q19" s="180" t="s">
        <v>23</v>
      </c>
    </row>
    <row r="20" spans="1:17" x14ac:dyDescent="0.25">
      <c r="A20" s="172" t="s">
        <v>27</v>
      </c>
      <c r="B20" s="180" t="s">
        <v>16</v>
      </c>
      <c r="C20" s="180" t="s">
        <v>45</v>
      </c>
      <c r="D20" s="180">
        <v>55714</v>
      </c>
      <c r="E20" s="180" t="s">
        <v>48</v>
      </c>
      <c r="F20" s="180" t="s">
        <v>30</v>
      </c>
      <c r="G20" s="180" t="s">
        <v>31</v>
      </c>
      <c r="H20" s="180">
        <v>242</v>
      </c>
      <c r="I20" s="181">
        <v>901257.30831099197</v>
      </c>
      <c r="L20" s="181">
        <f t="shared" si="0"/>
        <v>901257.30831099197</v>
      </c>
      <c r="M20" s="181">
        <v>381763.28833780158</v>
      </c>
      <c r="O20" s="182" t="s">
        <v>47</v>
      </c>
      <c r="P20" s="180" t="s">
        <v>22</v>
      </c>
      <c r="Q20" s="180" t="s">
        <v>23</v>
      </c>
    </row>
    <row r="21" spans="1:17" x14ac:dyDescent="0.25">
      <c r="A21" s="172" t="s">
        <v>27</v>
      </c>
      <c r="B21" s="180" t="s">
        <v>16</v>
      </c>
      <c r="C21" s="180" t="s">
        <v>45</v>
      </c>
      <c r="D21" s="180">
        <v>55714</v>
      </c>
      <c r="E21" s="180" t="s">
        <v>49</v>
      </c>
      <c r="F21" s="180" t="s">
        <v>30</v>
      </c>
      <c r="G21" s="180" t="s">
        <v>34</v>
      </c>
      <c r="H21" s="180">
        <v>262</v>
      </c>
      <c r="I21" s="181">
        <v>975741.38337801606</v>
      </c>
      <c r="L21" s="181">
        <f t="shared" si="0"/>
        <v>975741.38337801606</v>
      </c>
      <c r="M21" s="181">
        <v>413313.97332439676</v>
      </c>
      <c r="O21" s="182" t="s">
        <v>47</v>
      </c>
      <c r="P21" s="180" t="s">
        <v>22</v>
      </c>
      <c r="Q21" s="180" t="s">
        <v>23</v>
      </c>
    </row>
    <row r="22" spans="1:17" x14ac:dyDescent="0.25">
      <c r="A22" s="172" t="s">
        <v>27</v>
      </c>
      <c r="B22" s="180" t="s">
        <v>16</v>
      </c>
      <c r="C22" s="180" t="s">
        <v>50</v>
      </c>
      <c r="D22" s="180">
        <v>55418</v>
      </c>
      <c r="E22" s="180" t="s">
        <v>51</v>
      </c>
      <c r="F22" s="180" t="s">
        <v>30</v>
      </c>
      <c r="G22" s="180" t="s">
        <v>31</v>
      </c>
      <c r="H22" s="180">
        <v>198.9</v>
      </c>
      <c r="I22" s="181">
        <v>474891.83687744825</v>
      </c>
      <c r="L22" s="181">
        <f t="shared" si="0"/>
        <v>474891.83687744825</v>
      </c>
      <c r="M22" s="181">
        <v>213764.92923852828</v>
      </c>
      <c r="O22" s="182" t="s">
        <v>47</v>
      </c>
      <c r="P22" s="180" t="s">
        <v>22</v>
      </c>
      <c r="Q22" s="180" t="s">
        <v>23</v>
      </c>
    </row>
    <row r="23" spans="1:17" x14ac:dyDescent="0.25">
      <c r="A23" s="172" t="s">
        <v>27</v>
      </c>
      <c r="B23" s="180" t="s">
        <v>16</v>
      </c>
      <c r="C23" s="180" t="s">
        <v>50</v>
      </c>
      <c r="D23" s="180">
        <v>55418</v>
      </c>
      <c r="E23" s="180" t="s">
        <v>52</v>
      </c>
      <c r="F23" s="180" t="s">
        <v>30</v>
      </c>
      <c r="G23" s="180" t="s">
        <v>31</v>
      </c>
      <c r="H23" s="180">
        <v>198.9</v>
      </c>
      <c r="I23" s="181">
        <v>474891.83687744825</v>
      </c>
      <c r="L23" s="181">
        <f t="shared" si="0"/>
        <v>474891.83687744825</v>
      </c>
      <c r="M23" s="181">
        <v>213764.92923852828</v>
      </c>
      <c r="O23" s="182" t="s">
        <v>47</v>
      </c>
      <c r="P23" s="180" t="s">
        <v>22</v>
      </c>
      <c r="Q23" s="180" t="s">
        <v>23</v>
      </c>
    </row>
    <row r="24" spans="1:17" x14ac:dyDescent="0.25">
      <c r="A24" s="172" t="s">
        <v>27</v>
      </c>
      <c r="B24" s="180" t="s">
        <v>16</v>
      </c>
      <c r="C24" s="180" t="s">
        <v>50</v>
      </c>
      <c r="D24" s="180">
        <v>55418</v>
      </c>
      <c r="E24" s="180" t="s">
        <v>49</v>
      </c>
      <c r="F24" s="180" t="s">
        <v>30</v>
      </c>
      <c r="G24" s="180" t="s">
        <v>34</v>
      </c>
      <c r="H24" s="180">
        <v>317</v>
      </c>
      <c r="I24" s="181">
        <v>756866.32624510361</v>
      </c>
      <c r="L24" s="181">
        <f t="shared" si="0"/>
        <v>756866.32624510361</v>
      </c>
      <c r="M24" s="181">
        <v>340691.21452294348</v>
      </c>
      <c r="O24" s="182" t="s">
        <v>47</v>
      </c>
      <c r="P24" s="180" t="s">
        <v>22</v>
      </c>
      <c r="Q24" s="180" t="s">
        <v>23</v>
      </c>
    </row>
    <row r="25" spans="1:17" x14ac:dyDescent="0.25">
      <c r="A25" s="172" t="s">
        <v>27</v>
      </c>
      <c r="B25" s="180" t="s">
        <v>16</v>
      </c>
      <c r="C25" s="180" t="s">
        <v>53</v>
      </c>
      <c r="D25" s="180">
        <v>55075</v>
      </c>
      <c r="E25" s="180" t="s">
        <v>54</v>
      </c>
      <c r="F25" s="180" t="s">
        <v>30</v>
      </c>
      <c r="G25" s="180" t="s">
        <v>31</v>
      </c>
      <c r="H25" s="180">
        <v>180</v>
      </c>
      <c r="I25" s="181">
        <v>1024910.0847457628</v>
      </c>
      <c r="J25" s="183">
        <v>0.53142130794678566</v>
      </c>
      <c r="K25" s="184">
        <f>(4/3)*3.412*I25*(1/J25-1)</f>
        <v>4111280.3960751365</v>
      </c>
      <c r="L25" s="181">
        <f>I25+ 0.75*K25/3.412</f>
        <v>1928620.6055711885</v>
      </c>
      <c r="M25" s="181">
        <v>567802.89152542374</v>
      </c>
      <c r="O25" s="182" t="s">
        <v>55</v>
      </c>
      <c r="P25" s="180" t="s">
        <v>56</v>
      </c>
      <c r="Q25" s="180" t="s">
        <v>23</v>
      </c>
    </row>
    <row r="26" spans="1:17" x14ac:dyDescent="0.25">
      <c r="A26" s="172" t="s">
        <v>27</v>
      </c>
      <c r="B26" s="180" t="s">
        <v>16</v>
      </c>
      <c r="C26" s="180" t="s">
        <v>53</v>
      </c>
      <c r="D26" s="180">
        <v>55075</v>
      </c>
      <c r="E26" s="180" t="s">
        <v>57</v>
      </c>
      <c r="F26" s="180" t="s">
        <v>30</v>
      </c>
      <c r="G26" s="180" t="s">
        <v>34</v>
      </c>
      <c r="H26" s="180">
        <v>56</v>
      </c>
      <c r="I26" s="181">
        <v>318860.9152542373</v>
      </c>
      <c r="J26" s="183">
        <v>0.53142130794678566</v>
      </c>
      <c r="K26" s="184">
        <f>(4/3)*3.412*I26*(1/J26-1)</f>
        <v>1279065.0121122648</v>
      </c>
      <c r="L26" s="181">
        <f>I26+ 0.75*K26/3.412</f>
        <v>600015.29951103637</v>
      </c>
      <c r="M26" s="181">
        <v>176649.78847457629</v>
      </c>
      <c r="O26" s="182" t="s">
        <v>55</v>
      </c>
      <c r="P26" s="180" t="s">
        <v>56</v>
      </c>
      <c r="Q26" s="180" t="s">
        <v>23</v>
      </c>
    </row>
    <row r="27" spans="1:17" x14ac:dyDescent="0.25">
      <c r="A27" s="172" t="s">
        <v>27</v>
      </c>
      <c r="B27" s="180" t="s">
        <v>16</v>
      </c>
      <c r="C27" s="180" t="s">
        <v>58</v>
      </c>
      <c r="D27" s="180">
        <v>201</v>
      </c>
      <c r="E27" s="180" t="s">
        <v>18</v>
      </c>
      <c r="F27" s="180" t="s">
        <v>30</v>
      </c>
      <c r="G27" s="180" t="s">
        <v>34</v>
      </c>
      <c r="H27" s="180">
        <v>59</v>
      </c>
      <c r="I27" s="181">
        <v>19721.308108108107</v>
      </c>
      <c r="L27" s="181">
        <f t="shared" ref="L27:L54" si="1">I27</f>
        <v>19721.308108108107</v>
      </c>
      <c r="M27" s="181">
        <v>10917.224459459459</v>
      </c>
      <c r="O27" s="182" t="s">
        <v>21</v>
      </c>
      <c r="P27" s="180" t="s">
        <v>22</v>
      </c>
      <c r="Q27" s="180" t="s">
        <v>23</v>
      </c>
    </row>
    <row r="28" spans="1:17" x14ac:dyDescent="0.25">
      <c r="A28" s="172" t="s">
        <v>27</v>
      </c>
      <c r="B28" s="180" t="s">
        <v>16</v>
      </c>
      <c r="C28" s="180" t="s">
        <v>58</v>
      </c>
      <c r="D28" s="180">
        <v>201</v>
      </c>
      <c r="E28" s="180" t="s">
        <v>25</v>
      </c>
      <c r="F28" s="180" t="s">
        <v>30</v>
      </c>
      <c r="G28" s="180" t="s">
        <v>31</v>
      </c>
      <c r="H28" s="180">
        <v>126</v>
      </c>
      <c r="I28" s="181">
        <v>42116.691891891889</v>
      </c>
      <c r="L28" s="181">
        <f t="shared" si="1"/>
        <v>42116.691891891889</v>
      </c>
      <c r="M28" s="181">
        <v>23314.750540540539</v>
      </c>
      <c r="O28" s="182" t="s">
        <v>21</v>
      </c>
      <c r="P28" s="180" t="s">
        <v>22</v>
      </c>
      <c r="Q28" s="180" t="s">
        <v>23</v>
      </c>
    </row>
    <row r="29" spans="1:17" x14ac:dyDescent="0.25">
      <c r="A29" s="172" t="s">
        <v>27</v>
      </c>
      <c r="B29" s="180" t="s">
        <v>16</v>
      </c>
      <c r="C29" s="180" t="s">
        <v>59</v>
      </c>
      <c r="D29" s="180">
        <v>55380</v>
      </c>
      <c r="E29" s="180" t="s">
        <v>29</v>
      </c>
      <c r="F29" s="180" t="s">
        <v>30</v>
      </c>
      <c r="G29" s="180" t="s">
        <v>31</v>
      </c>
      <c r="H29" s="180">
        <v>176</v>
      </c>
      <c r="I29" s="181">
        <v>305545.71334431629</v>
      </c>
      <c r="L29" s="181">
        <f t="shared" si="1"/>
        <v>305545.71334431629</v>
      </c>
      <c r="M29" s="181">
        <v>144167.35399670512</v>
      </c>
      <c r="O29" s="182" t="s">
        <v>47</v>
      </c>
      <c r="P29" s="180" t="s">
        <v>22</v>
      </c>
      <c r="Q29" s="180" t="s">
        <v>23</v>
      </c>
    </row>
    <row r="30" spans="1:17" x14ac:dyDescent="0.25">
      <c r="A30" s="172" t="s">
        <v>27</v>
      </c>
      <c r="B30" s="180" t="s">
        <v>16</v>
      </c>
      <c r="C30" s="180" t="s">
        <v>59</v>
      </c>
      <c r="D30" s="180">
        <v>55380</v>
      </c>
      <c r="E30" s="180" t="s">
        <v>32</v>
      </c>
      <c r="F30" s="180" t="s">
        <v>30</v>
      </c>
      <c r="G30" s="180" t="s">
        <v>31</v>
      </c>
      <c r="H30" s="180">
        <v>176</v>
      </c>
      <c r="I30" s="181">
        <v>305545.71334431629</v>
      </c>
      <c r="L30" s="181">
        <f t="shared" si="1"/>
        <v>305545.71334431629</v>
      </c>
      <c r="M30" s="181">
        <v>144167.35399670512</v>
      </c>
      <c r="O30" s="182" t="s">
        <v>47</v>
      </c>
      <c r="P30" s="180" t="s">
        <v>22</v>
      </c>
      <c r="Q30" s="180" t="s">
        <v>23</v>
      </c>
    </row>
    <row r="31" spans="1:17" x14ac:dyDescent="0.25">
      <c r="A31" s="172" t="s">
        <v>27</v>
      </c>
      <c r="B31" s="180" t="s">
        <v>16</v>
      </c>
      <c r="C31" s="180" t="s">
        <v>59</v>
      </c>
      <c r="D31" s="180">
        <v>55380</v>
      </c>
      <c r="E31" s="180" t="s">
        <v>60</v>
      </c>
      <c r="F31" s="180" t="s">
        <v>30</v>
      </c>
      <c r="G31" s="180" t="s">
        <v>31</v>
      </c>
      <c r="H31" s="180">
        <v>176</v>
      </c>
      <c r="I31" s="181">
        <v>305545.71334431629</v>
      </c>
      <c r="L31" s="181">
        <f t="shared" si="1"/>
        <v>305545.71334431629</v>
      </c>
      <c r="M31" s="181">
        <v>144167.35399670512</v>
      </c>
      <c r="O31" s="182" t="s">
        <v>47</v>
      </c>
      <c r="P31" s="180" t="s">
        <v>22</v>
      </c>
      <c r="Q31" s="180" t="s">
        <v>23</v>
      </c>
    </row>
    <row r="32" spans="1:17" x14ac:dyDescent="0.25">
      <c r="A32" s="172" t="s">
        <v>27</v>
      </c>
      <c r="B32" s="180" t="s">
        <v>16</v>
      </c>
      <c r="C32" s="180" t="s">
        <v>59</v>
      </c>
      <c r="D32" s="180">
        <v>55380</v>
      </c>
      <c r="E32" s="180" t="s">
        <v>61</v>
      </c>
      <c r="F32" s="180" t="s">
        <v>30</v>
      </c>
      <c r="G32" s="180" t="s">
        <v>31</v>
      </c>
      <c r="H32" s="180">
        <v>176</v>
      </c>
      <c r="I32" s="181">
        <v>305545.71334431629</v>
      </c>
      <c r="L32" s="181">
        <f t="shared" si="1"/>
        <v>305545.71334431629</v>
      </c>
      <c r="M32" s="181">
        <v>144167.35399670512</v>
      </c>
      <c r="O32" s="182" t="s">
        <v>47</v>
      </c>
      <c r="P32" s="180" t="s">
        <v>22</v>
      </c>
      <c r="Q32" s="180" t="s">
        <v>23</v>
      </c>
    </row>
    <row r="33" spans="1:17" x14ac:dyDescent="0.25">
      <c r="A33" s="172" t="s">
        <v>27</v>
      </c>
      <c r="B33" s="180" t="s">
        <v>16</v>
      </c>
      <c r="C33" s="180" t="s">
        <v>59</v>
      </c>
      <c r="D33" s="180">
        <v>55380</v>
      </c>
      <c r="E33" s="180" t="s">
        <v>62</v>
      </c>
      <c r="F33" s="180" t="s">
        <v>30</v>
      </c>
      <c r="G33" s="180" t="s">
        <v>31</v>
      </c>
      <c r="H33" s="180">
        <v>176</v>
      </c>
      <c r="I33" s="181">
        <v>305545.71334431629</v>
      </c>
      <c r="L33" s="181">
        <f t="shared" si="1"/>
        <v>305545.71334431629</v>
      </c>
      <c r="M33" s="181">
        <v>144167.35399670512</v>
      </c>
      <c r="O33" s="182" t="s">
        <v>47</v>
      </c>
      <c r="P33" s="180" t="s">
        <v>22</v>
      </c>
      <c r="Q33" s="180" t="s">
        <v>23</v>
      </c>
    </row>
    <row r="34" spans="1:17" x14ac:dyDescent="0.25">
      <c r="A34" s="172" t="s">
        <v>27</v>
      </c>
      <c r="B34" s="180" t="s">
        <v>16</v>
      </c>
      <c r="C34" s="180" t="s">
        <v>59</v>
      </c>
      <c r="D34" s="180">
        <v>55380</v>
      </c>
      <c r="E34" s="180" t="s">
        <v>63</v>
      </c>
      <c r="F34" s="180" t="s">
        <v>30</v>
      </c>
      <c r="G34" s="180" t="s">
        <v>31</v>
      </c>
      <c r="H34" s="180">
        <v>176</v>
      </c>
      <c r="I34" s="181">
        <v>305545.71334431629</v>
      </c>
      <c r="L34" s="181">
        <f t="shared" si="1"/>
        <v>305545.71334431629</v>
      </c>
      <c r="M34" s="181">
        <v>144167.35399670512</v>
      </c>
      <c r="O34" s="182" t="s">
        <v>47</v>
      </c>
      <c r="P34" s="180" t="s">
        <v>22</v>
      </c>
      <c r="Q34" s="180" t="s">
        <v>23</v>
      </c>
    </row>
    <row r="35" spans="1:17" x14ac:dyDescent="0.25">
      <c r="A35" s="172" t="s">
        <v>27</v>
      </c>
      <c r="B35" s="180" t="s">
        <v>16</v>
      </c>
      <c r="C35" s="180" t="s">
        <v>59</v>
      </c>
      <c r="D35" s="180">
        <v>55380</v>
      </c>
      <c r="E35" s="180" t="s">
        <v>64</v>
      </c>
      <c r="F35" s="180" t="s">
        <v>30</v>
      </c>
      <c r="G35" s="180" t="s">
        <v>31</v>
      </c>
      <c r="H35" s="180">
        <v>176</v>
      </c>
      <c r="I35" s="181">
        <v>305545.71334431629</v>
      </c>
      <c r="L35" s="181">
        <f t="shared" si="1"/>
        <v>305545.71334431629</v>
      </c>
      <c r="M35" s="181">
        <v>144167.35399670512</v>
      </c>
      <c r="O35" s="182" t="s">
        <v>47</v>
      </c>
      <c r="P35" s="180" t="s">
        <v>22</v>
      </c>
      <c r="Q35" s="180" t="s">
        <v>23</v>
      </c>
    </row>
    <row r="36" spans="1:17" x14ac:dyDescent="0.25">
      <c r="A36" s="172" t="s">
        <v>27</v>
      </c>
      <c r="B36" s="180" t="s">
        <v>16</v>
      </c>
      <c r="C36" s="180" t="s">
        <v>59</v>
      </c>
      <c r="D36" s="180">
        <v>55380</v>
      </c>
      <c r="E36" s="180" t="s">
        <v>65</v>
      </c>
      <c r="F36" s="180" t="s">
        <v>30</v>
      </c>
      <c r="G36" s="180" t="s">
        <v>31</v>
      </c>
      <c r="H36" s="180">
        <v>176</v>
      </c>
      <c r="I36" s="181">
        <v>305545.71334431629</v>
      </c>
      <c r="L36" s="181">
        <f t="shared" si="1"/>
        <v>305545.71334431629</v>
      </c>
      <c r="M36" s="181">
        <v>144167.35399670512</v>
      </c>
      <c r="O36" s="182" t="s">
        <v>47</v>
      </c>
      <c r="P36" s="180" t="s">
        <v>22</v>
      </c>
      <c r="Q36" s="180" t="s">
        <v>23</v>
      </c>
    </row>
    <row r="37" spans="1:17" x14ac:dyDescent="0.25">
      <c r="A37" s="172" t="s">
        <v>27</v>
      </c>
      <c r="B37" s="180" t="s">
        <v>16</v>
      </c>
      <c r="C37" s="180" t="s">
        <v>59</v>
      </c>
      <c r="D37" s="180">
        <v>55380</v>
      </c>
      <c r="E37" s="180" t="s">
        <v>66</v>
      </c>
      <c r="F37" s="180" t="s">
        <v>30</v>
      </c>
      <c r="G37" s="180" t="s">
        <v>34</v>
      </c>
      <c r="H37" s="180">
        <v>255</v>
      </c>
      <c r="I37" s="181">
        <v>442694.07331136736</v>
      </c>
      <c r="L37" s="181">
        <f t="shared" si="1"/>
        <v>442694.07331136736</v>
      </c>
      <c r="M37" s="181">
        <v>208878.83675658976</v>
      </c>
      <c r="O37" s="182" t="s">
        <v>47</v>
      </c>
      <c r="P37" s="180" t="s">
        <v>22</v>
      </c>
      <c r="Q37" s="180" t="s">
        <v>23</v>
      </c>
    </row>
    <row r="38" spans="1:17" x14ac:dyDescent="0.25">
      <c r="A38" s="172" t="s">
        <v>27</v>
      </c>
      <c r="B38" s="180" t="s">
        <v>16</v>
      </c>
      <c r="C38" s="180" t="s">
        <v>59</v>
      </c>
      <c r="D38" s="180">
        <v>55380</v>
      </c>
      <c r="E38" s="180" t="s">
        <v>67</v>
      </c>
      <c r="F38" s="180" t="s">
        <v>30</v>
      </c>
      <c r="G38" s="180" t="s">
        <v>34</v>
      </c>
      <c r="H38" s="180">
        <v>255</v>
      </c>
      <c r="I38" s="181">
        <v>442694.07331136736</v>
      </c>
      <c r="L38" s="181">
        <f t="shared" si="1"/>
        <v>442694.07331136736</v>
      </c>
      <c r="M38" s="181">
        <v>208878.83675658976</v>
      </c>
      <c r="O38" s="182" t="s">
        <v>47</v>
      </c>
      <c r="P38" s="180" t="s">
        <v>22</v>
      </c>
      <c r="Q38" s="180" t="s">
        <v>23</v>
      </c>
    </row>
    <row r="39" spans="1:17" x14ac:dyDescent="0.25">
      <c r="A39" s="172" t="s">
        <v>27</v>
      </c>
      <c r="B39" s="180" t="s">
        <v>16</v>
      </c>
      <c r="C39" s="180" t="s">
        <v>59</v>
      </c>
      <c r="D39" s="180">
        <v>55380</v>
      </c>
      <c r="E39" s="180" t="s">
        <v>68</v>
      </c>
      <c r="F39" s="180" t="s">
        <v>30</v>
      </c>
      <c r="G39" s="180" t="s">
        <v>34</v>
      </c>
      <c r="H39" s="180">
        <v>255</v>
      </c>
      <c r="I39" s="181">
        <v>442694.07331136736</v>
      </c>
      <c r="L39" s="181">
        <f t="shared" si="1"/>
        <v>442694.07331136736</v>
      </c>
      <c r="M39" s="181">
        <v>208878.83675658976</v>
      </c>
      <c r="O39" s="182" t="s">
        <v>47</v>
      </c>
      <c r="P39" s="180" t="s">
        <v>22</v>
      </c>
      <c r="Q39" s="180" t="s">
        <v>23</v>
      </c>
    </row>
    <row r="40" spans="1:17" x14ac:dyDescent="0.25">
      <c r="A40" s="172" t="s">
        <v>27</v>
      </c>
      <c r="B40" s="180" t="s">
        <v>16</v>
      </c>
      <c r="C40" s="180" t="s">
        <v>59</v>
      </c>
      <c r="D40" s="180">
        <v>55380</v>
      </c>
      <c r="E40" s="180" t="s">
        <v>69</v>
      </c>
      <c r="F40" s="180" t="s">
        <v>30</v>
      </c>
      <c r="G40" s="180" t="s">
        <v>34</v>
      </c>
      <c r="H40" s="180">
        <v>255</v>
      </c>
      <c r="I40" s="181">
        <v>442694.07331136736</v>
      </c>
      <c r="L40" s="181">
        <f t="shared" si="1"/>
        <v>442694.07331136736</v>
      </c>
      <c r="M40" s="181">
        <v>208878.83675658976</v>
      </c>
      <c r="O40" s="182" t="s">
        <v>47</v>
      </c>
      <c r="P40" s="180" t="s">
        <v>22</v>
      </c>
      <c r="Q40" s="180" t="s">
        <v>23</v>
      </c>
    </row>
    <row r="41" spans="1:17" x14ac:dyDescent="0.25">
      <c r="A41" s="172" t="s">
        <v>70</v>
      </c>
      <c r="B41" s="180" t="s">
        <v>16</v>
      </c>
      <c r="C41" s="180" t="s">
        <v>71</v>
      </c>
      <c r="D41" s="180">
        <v>202</v>
      </c>
      <c r="E41" s="180" t="s">
        <v>18</v>
      </c>
      <c r="F41" s="180" t="s">
        <v>30</v>
      </c>
      <c r="G41" s="180" t="s">
        <v>20</v>
      </c>
      <c r="H41" s="180">
        <v>120</v>
      </c>
      <c r="I41" s="181">
        <v>22606</v>
      </c>
      <c r="L41" s="181">
        <f t="shared" si="1"/>
        <v>22606</v>
      </c>
      <c r="M41" s="181">
        <v>14044.24</v>
      </c>
      <c r="O41" s="182" t="s">
        <v>21</v>
      </c>
      <c r="P41" s="180" t="s">
        <v>22</v>
      </c>
      <c r="Q41" s="180" t="s">
        <v>23</v>
      </c>
    </row>
    <row r="42" spans="1:17" x14ac:dyDescent="0.25">
      <c r="A42" s="172" t="s">
        <v>70</v>
      </c>
      <c r="B42" s="180" t="s">
        <v>16</v>
      </c>
      <c r="C42" s="180" t="s">
        <v>72</v>
      </c>
      <c r="D42" s="180">
        <v>167</v>
      </c>
      <c r="E42" s="180" t="s">
        <v>25</v>
      </c>
      <c r="F42" s="180" t="s">
        <v>30</v>
      </c>
      <c r="G42" s="180" t="s">
        <v>20</v>
      </c>
      <c r="H42" s="180">
        <v>69</v>
      </c>
      <c r="I42" s="181">
        <v>-20</v>
      </c>
      <c r="L42" s="181">
        <f t="shared" si="1"/>
        <v>-20</v>
      </c>
      <c r="M42" s="181">
        <v>0</v>
      </c>
      <c r="O42" s="182" t="s">
        <v>21</v>
      </c>
      <c r="P42" s="180" t="s">
        <v>22</v>
      </c>
      <c r="Q42" s="180" t="s">
        <v>73</v>
      </c>
    </row>
    <row r="43" spans="1:17" x14ac:dyDescent="0.25">
      <c r="A43" s="172" t="s">
        <v>70</v>
      </c>
      <c r="B43" s="180" t="s">
        <v>16</v>
      </c>
      <c r="C43" s="180" t="s">
        <v>72</v>
      </c>
      <c r="D43" s="180">
        <v>167</v>
      </c>
      <c r="E43" s="180" t="s">
        <v>74</v>
      </c>
      <c r="F43" s="180" t="s">
        <v>30</v>
      </c>
      <c r="G43" s="180" t="s">
        <v>20</v>
      </c>
      <c r="H43" s="180">
        <v>156.19999999999999</v>
      </c>
      <c r="I43" s="181">
        <v>20127</v>
      </c>
      <c r="L43" s="181">
        <f t="shared" si="1"/>
        <v>20127</v>
      </c>
      <c r="M43" s="181">
        <v>17146.205999999998</v>
      </c>
      <c r="O43" s="182" t="s">
        <v>21</v>
      </c>
      <c r="P43" s="180" t="s">
        <v>22</v>
      </c>
      <c r="Q43" s="180" t="s">
        <v>23</v>
      </c>
    </row>
    <row r="44" spans="1:17" x14ac:dyDescent="0.25">
      <c r="A44" s="172" t="s">
        <v>70</v>
      </c>
      <c r="B44" s="180" t="s">
        <v>16</v>
      </c>
      <c r="C44" s="180" t="s">
        <v>75</v>
      </c>
      <c r="D44" s="180">
        <v>168</v>
      </c>
      <c r="E44" s="180" t="s">
        <v>18</v>
      </c>
      <c r="F44" s="180" t="s">
        <v>30</v>
      </c>
      <c r="G44" s="180" t="s">
        <v>20</v>
      </c>
      <c r="H44" s="180">
        <v>69</v>
      </c>
      <c r="I44" s="181">
        <v>1464</v>
      </c>
      <c r="L44" s="181">
        <f t="shared" si="1"/>
        <v>1464</v>
      </c>
      <c r="M44" s="181">
        <v>2351.2950000000001</v>
      </c>
      <c r="O44" s="182" t="s">
        <v>21</v>
      </c>
      <c r="P44" s="180" t="s">
        <v>22</v>
      </c>
      <c r="Q44" s="180" t="s">
        <v>76</v>
      </c>
    </row>
    <row r="45" spans="1:17" x14ac:dyDescent="0.25">
      <c r="A45" s="172" t="s">
        <v>70</v>
      </c>
      <c r="B45" s="180" t="s">
        <v>16</v>
      </c>
      <c r="C45" s="180" t="s">
        <v>75</v>
      </c>
      <c r="D45" s="180">
        <v>168</v>
      </c>
      <c r="E45" s="180" t="s">
        <v>25</v>
      </c>
      <c r="F45" s="180" t="s">
        <v>30</v>
      </c>
      <c r="G45" s="180" t="s">
        <v>20</v>
      </c>
      <c r="H45" s="180">
        <v>69</v>
      </c>
      <c r="I45" s="181">
        <v>799</v>
      </c>
      <c r="L45" s="181">
        <f t="shared" si="1"/>
        <v>799</v>
      </c>
      <c r="M45" s="181">
        <v>1498.0319999999999</v>
      </c>
      <c r="O45" s="182" t="s">
        <v>21</v>
      </c>
      <c r="P45" s="180" t="s">
        <v>22</v>
      </c>
      <c r="Q45" s="180" t="s">
        <v>76</v>
      </c>
    </row>
    <row r="46" spans="1:17" x14ac:dyDescent="0.25">
      <c r="A46" s="172" t="s">
        <v>70</v>
      </c>
      <c r="B46" s="180" t="s">
        <v>16</v>
      </c>
      <c r="C46" s="180" t="s">
        <v>77</v>
      </c>
      <c r="D46" s="180">
        <v>169</v>
      </c>
      <c r="E46" s="180" t="s">
        <v>18</v>
      </c>
      <c r="F46" s="180" t="s">
        <v>30</v>
      </c>
      <c r="G46" s="180" t="s">
        <v>20</v>
      </c>
      <c r="H46" s="180">
        <v>26.5</v>
      </c>
      <c r="I46" s="181">
        <v>-596</v>
      </c>
      <c r="L46" s="181">
        <f t="shared" si="1"/>
        <v>-596</v>
      </c>
      <c r="M46" s="181">
        <v>0</v>
      </c>
      <c r="O46" s="182" t="s">
        <v>21</v>
      </c>
      <c r="P46" s="180" t="s">
        <v>22</v>
      </c>
      <c r="Q46" s="180" t="s">
        <v>73</v>
      </c>
    </row>
    <row r="47" spans="1:17" x14ac:dyDescent="0.25">
      <c r="A47" s="172" t="s">
        <v>70</v>
      </c>
      <c r="B47" s="180" t="s">
        <v>16</v>
      </c>
      <c r="C47" s="180" t="s">
        <v>77</v>
      </c>
      <c r="D47" s="180">
        <v>169</v>
      </c>
      <c r="E47" s="180" t="s">
        <v>25</v>
      </c>
      <c r="F47" s="180" t="s">
        <v>30</v>
      </c>
      <c r="G47" s="180" t="s">
        <v>20</v>
      </c>
      <c r="H47" s="180">
        <v>156.19999999999999</v>
      </c>
      <c r="I47" s="181">
        <v>45122</v>
      </c>
      <c r="L47" s="181">
        <f t="shared" si="1"/>
        <v>45122</v>
      </c>
      <c r="M47" s="181">
        <v>39329.665999999997</v>
      </c>
      <c r="O47" s="182" t="s">
        <v>21</v>
      </c>
      <c r="P47" s="180" t="s">
        <v>22</v>
      </c>
      <c r="Q47" s="180" t="s">
        <v>23</v>
      </c>
    </row>
    <row r="48" spans="1:17" x14ac:dyDescent="0.25">
      <c r="A48" s="172" t="s">
        <v>70</v>
      </c>
      <c r="B48" s="180" t="s">
        <v>16</v>
      </c>
      <c r="C48" s="180" t="s">
        <v>78</v>
      </c>
      <c r="D48" s="180">
        <v>170</v>
      </c>
      <c r="E48" s="180" t="s">
        <v>18</v>
      </c>
      <c r="F48" s="180" t="s">
        <v>30</v>
      </c>
      <c r="G48" s="180" t="s">
        <v>20</v>
      </c>
      <c r="H48" s="180">
        <v>40</v>
      </c>
      <c r="I48" s="181">
        <v>0</v>
      </c>
      <c r="L48" s="181">
        <f t="shared" si="1"/>
        <v>0</v>
      </c>
      <c r="M48" s="181">
        <v>0</v>
      </c>
      <c r="O48" s="182" t="s">
        <v>21</v>
      </c>
      <c r="P48" s="180" t="s">
        <v>22</v>
      </c>
      <c r="Q48" s="180" t="s">
        <v>76</v>
      </c>
    </row>
    <row r="49" spans="1:17" x14ac:dyDescent="0.25">
      <c r="A49" s="172" t="s">
        <v>70</v>
      </c>
      <c r="B49" s="180" t="s">
        <v>16</v>
      </c>
      <c r="C49" s="180" t="s">
        <v>78</v>
      </c>
      <c r="D49" s="180">
        <v>170</v>
      </c>
      <c r="E49" s="180" t="s">
        <v>25</v>
      </c>
      <c r="F49" s="180" t="s">
        <v>30</v>
      </c>
      <c r="G49" s="180" t="s">
        <v>20</v>
      </c>
      <c r="H49" s="180">
        <v>40</v>
      </c>
      <c r="I49" s="181">
        <v>0</v>
      </c>
      <c r="L49" s="181">
        <f t="shared" si="1"/>
        <v>0</v>
      </c>
      <c r="M49" s="181">
        <v>0</v>
      </c>
      <c r="O49" s="182" t="s">
        <v>21</v>
      </c>
      <c r="P49" s="180" t="s">
        <v>22</v>
      </c>
      <c r="Q49" s="180" t="s">
        <v>76</v>
      </c>
    </row>
    <row r="50" spans="1:17" x14ac:dyDescent="0.25">
      <c r="A50" s="172" t="s">
        <v>70</v>
      </c>
      <c r="B50" s="180" t="s">
        <v>16</v>
      </c>
      <c r="C50" s="180" t="s">
        <v>78</v>
      </c>
      <c r="D50" s="180">
        <v>170</v>
      </c>
      <c r="E50" s="180" t="s">
        <v>74</v>
      </c>
      <c r="F50" s="180" t="s">
        <v>30</v>
      </c>
      <c r="G50" s="180" t="s">
        <v>20</v>
      </c>
      <c r="H50" s="180">
        <v>119.5</v>
      </c>
      <c r="I50" s="181">
        <v>-1638</v>
      </c>
      <c r="L50" s="181">
        <f t="shared" si="1"/>
        <v>-1638</v>
      </c>
      <c r="M50" s="181">
        <v>0</v>
      </c>
      <c r="O50" s="182" t="s">
        <v>21</v>
      </c>
      <c r="P50" s="180" t="s">
        <v>22</v>
      </c>
      <c r="Q50" s="180" t="s">
        <v>76</v>
      </c>
    </row>
    <row r="51" spans="1:17" x14ac:dyDescent="0.25">
      <c r="A51" s="172" t="s">
        <v>70</v>
      </c>
      <c r="B51" s="180" t="s">
        <v>16</v>
      </c>
      <c r="C51" s="180" t="s">
        <v>78</v>
      </c>
      <c r="D51" s="180">
        <v>170</v>
      </c>
      <c r="E51" s="180" t="s">
        <v>79</v>
      </c>
      <c r="F51" s="180" t="s">
        <v>30</v>
      </c>
      <c r="G51" s="180" t="s">
        <v>20</v>
      </c>
      <c r="H51" s="180">
        <v>552.5</v>
      </c>
      <c r="I51" s="181">
        <v>133874</v>
      </c>
      <c r="L51" s="181">
        <f t="shared" si="1"/>
        <v>133874</v>
      </c>
      <c r="M51" s="181">
        <v>84139.581000000006</v>
      </c>
      <c r="O51" s="182" t="s">
        <v>21</v>
      </c>
      <c r="P51" s="180" t="s">
        <v>22</v>
      </c>
      <c r="Q51" s="180" t="s">
        <v>23</v>
      </c>
    </row>
    <row r="52" spans="1:17" x14ac:dyDescent="0.25">
      <c r="A52" s="172" t="s">
        <v>70</v>
      </c>
      <c r="B52" s="180" t="s">
        <v>16</v>
      </c>
      <c r="C52" s="180" t="s">
        <v>80</v>
      </c>
      <c r="D52" s="180">
        <v>203</v>
      </c>
      <c r="E52" s="180" t="s">
        <v>18</v>
      </c>
      <c r="F52" s="180" t="s">
        <v>30</v>
      </c>
      <c r="G52" s="180" t="s">
        <v>20</v>
      </c>
      <c r="H52" s="180">
        <v>136</v>
      </c>
      <c r="I52" s="181">
        <v>134204</v>
      </c>
      <c r="L52" s="181">
        <f t="shared" si="1"/>
        <v>134204</v>
      </c>
      <c r="M52" s="181">
        <v>107030.86500000001</v>
      </c>
      <c r="O52" s="182" t="s">
        <v>21</v>
      </c>
      <c r="P52" s="180" t="s">
        <v>22</v>
      </c>
      <c r="Q52" s="180" t="s">
        <v>23</v>
      </c>
    </row>
    <row r="53" spans="1:17" x14ac:dyDescent="0.25">
      <c r="A53" s="172" t="s">
        <v>70</v>
      </c>
      <c r="B53" s="180" t="s">
        <v>16</v>
      </c>
      <c r="C53" s="180" t="s">
        <v>81</v>
      </c>
      <c r="D53" s="180">
        <v>173</v>
      </c>
      <c r="E53" s="180" t="s">
        <v>18</v>
      </c>
      <c r="F53" s="180" t="s">
        <v>30</v>
      </c>
      <c r="G53" s="180" t="s">
        <v>20</v>
      </c>
      <c r="H53" s="180">
        <v>359</v>
      </c>
      <c r="I53" s="181">
        <v>-137</v>
      </c>
      <c r="L53" s="181">
        <f t="shared" si="1"/>
        <v>-137</v>
      </c>
      <c r="M53" s="181">
        <v>32.625277953400001</v>
      </c>
      <c r="O53" s="182" t="s">
        <v>21</v>
      </c>
      <c r="P53" s="180" t="s">
        <v>22</v>
      </c>
      <c r="Q53" s="180" t="s">
        <v>73</v>
      </c>
    </row>
    <row r="54" spans="1:17" x14ac:dyDescent="0.25">
      <c r="A54" s="172" t="s">
        <v>70</v>
      </c>
      <c r="B54" s="180" t="s">
        <v>16</v>
      </c>
      <c r="C54" s="180" t="s">
        <v>81</v>
      </c>
      <c r="D54" s="180">
        <v>173</v>
      </c>
      <c r="E54" s="180" t="s">
        <v>25</v>
      </c>
      <c r="F54" s="180" t="s">
        <v>30</v>
      </c>
      <c r="G54" s="180" t="s">
        <v>20</v>
      </c>
      <c r="H54" s="180">
        <v>544.6</v>
      </c>
      <c r="I54" s="181">
        <v>4</v>
      </c>
      <c r="L54" s="181">
        <f t="shared" si="1"/>
        <v>4</v>
      </c>
      <c r="M54" s="181">
        <v>6.5217946933337601E-2</v>
      </c>
      <c r="O54" s="182" t="s">
        <v>21</v>
      </c>
      <c r="P54" s="180" t="s">
        <v>22</v>
      </c>
      <c r="Q54" s="180" t="s">
        <v>23</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workbookViewId="0">
      <selection activeCell="B1" sqref="A1:XFD1048576"/>
    </sheetView>
  </sheetViews>
  <sheetFormatPr defaultRowHeight="15" x14ac:dyDescent="0.25"/>
  <cols>
    <col min="1" max="1" width="8.85546875" style="172" bestFit="1" customWidth="1"/>
    <col min="2" max="2" width="5.5703125" style="172" bestFit="1" customWidth="1"/>
    <col min="3" max="3" width="33" style="172" bestFit="1" customWidth="1"/>
    <col min="4" max="4" width="6" style="172" bestFit="1" customWidth="1"/>
    <col min="5" max="5" width="8.28515625" style="172" bestFit="1" customWidth="1"/>
    <col min="6" max="6" width="5" style="172" bestFit="1" customWidth="1"/>
    <col min="7" max="7" width="6.7109375" style="172" bestFit="1" customWidth="1"/>
    <col min="8" max="8" width="9" style="172" bestFit="1" customWidth="1"/>
    <col min="9" max="9" width="9.140625" style="172"/>
    <col min="10" max="10" width="8.85546875" style="172" bestFit="1" customWidth="1"/>
    <col min="11" max="13" width="9.140625" style="172"/>
    <col min="14" max="14" width="8.7109375" style="172" bestFit="1" customWidth="1"/>
    <col min="15" max="15" width="13.42578125" style="172" bestFit="1" customWidth="1"/>
    <col min="16" max="16" width="8.42578125" style="172" bestFit="1" customWidth="1"/>
    <col min="17" max="17" width="6.42578125" style="172" bestFit="1" customWidth="1"/>
    <col min="18" max="16384" width="9.140625" style="172"/>
  </cols>
  <sheetData>
    <row r="1" spans="1:17" ht="105" x14ac:dyDescent="0.25">
      <c r="A1" s="173" t="s">
        <v>0</v>
      </c>
      <c r="B1" s="173" t="s">
        <v>1</v>
      </c>
      <c r="C1" s="173" t="s">
        <v>2</v>
      </c>
      <c r="D1" s="174" t="s">
        <v>3</v>
      </c>
      <c r="E1" s="175" t="s">
        <v>4</v>
      </c>
      <c r="F1" s="176" t="s">
        <v>5</v>
      </c>
      <c r="G1" s="176" t="s">
        <v>6</v>
      </c>
      <c r="H1" s="174" t="s">
        <v>7</v>
      </c>
      <c r="I1" s="178" t="s">
        <v>8</v>
      </c>
      <c r="J1" s="179" t="s">
        <v>9</v>
      </c>
      <c r="K1" s="178" t="s">
        <v>228</v>
      </c>
      <c r="L1" s="178" t="s">
        <v>229</v>
      </c>
      <c r="M1" s="178" t="s">
        <v>10</v>
      </c>
      <c r="N1" s="176" t="s">
        <v>11</v>
      </c>
      <c r="O1" s="176" t="s">
        <v>12</v>
      </c>
      <c r="P1" s="176" t="s">
        <v>13</v>
      </c>
      <c r="Q1" s="176" t="s">
        <v>14</v>
      </c>
    </row>
    <row r="2" spans="1:17" x14ac:dyDescent="0.25">
      <c r="A2" s="172" t="s">
        <v>15</v>
      </c>
      <c r="B2" s="185" t="s">
        <v>16</v>
      </c>
      <c r="C2" s="185" t="s">
        <v>17</v>
      </c>
      <c r="D2" s="185">
        <v>6138</v>
      </c>
      <c r="E2" s="185" t="s">
        <v>18</v>
      </c>
      <c r="F2" s="185" t="s">
        <v>19</v>
      </c>
      <c r="G2" s="185" t="s">
        <v>20</v>
      </c>
      <c r="H2" s="185">
        <v>558</v>
      </c>
      <c r="I2" s="186">
        <v>3593433</v>
      </c>
      <c r="J2" s="187"/>
      <c r="K2" s="187"/>
      <c r="L2" s="186">
        <f t="shared" ref="L2:L25" si="0">I2</f>
        <v>3593433</v>
      </c>
      <c r="M2" s="186">
        <v>3868938.4789999998</v>
      </c>
      <c r="O2" s="188" t="s">
        <v>21</v>
      </c>
      <c r="P2" s="188" t="s">
        <v>22</v>
      </c>
      <c r="Q2" s="185" t="s">
        <v>23</v>
      </c>
    </row>
    <row r="3" spans="1:17" x14ac:dyDescent="0.25">
      <c r="A3" s="172" t="s">
        <v>15</v>
      </c>
      <c r="B3" s="185" t="s">
        <v>16</v>
      </c>
      <c r="C3" s="185" t="s">
        <v>24</v>
      </c>
      <c r="D3" s="185">
        <v>6641</v>
      </c>
      <c r="E3" s="185" t="s">
        <v>18</v>
      </c>
      <c r="F3" s="185" t="s">
        <v>19</v>
      </c>
      <c r="G3" s="185" t="s">
        <v>20</v>
      </c>
      <c r="H3" s="185">
        <v>850</v>
      </c>
      <c r="I3" s="189">
        <v>6217781</v>
      </c>
      <c r="J3" s="187"/>
      <c r="K3" s="187"/>
      <c r="L3" s="189">
        <f t="shared" si="0"/>
        <v>6217781</v>
      </c>
      <c r="M3" s="189">
        <v>6681811.7960000001</v>
      </c>
      <c r="O3" s="188" t="s">
        <v>21</v>
      </c>
      <c r="P3" s="188" t="s">
        <v>22</v>
      </c>
      <c r="Q3" s="185" t="s">
        <v>23</v>
      </c>
    </row>
    <row r="4" spans="1:17" x14ac:dyDescent="0.25">
      <c r="A4" s="172" t="s">
        <v>15</v>
      </c>
      <c r="B4" s="185" t="s">
        <v>16</v>
      </c>
      <c r="C4" s="185" t="s">
        <v>24</v>
      </c>
      <c r="D4" s="185">
        <v>6641</v>
      </c>
      <c r="E4" s="185" t="s">
        <v>25</v>
      </c>
      <c r="F4" s="185" t="s">
        <v>19</v>
      </c>
      <c r="G4" s="185" t="s">
        <v>20</v>
      </c>
      <c r="H4" s="185">
        <v>850</v>
      </c>
      <c r="I4" s="189">
        <v>5678128</v>
      </c>
      <c r="J4" s="187"/>
      <c r="K4" s="187"/>
      <c r="L4" s="189">
        <f t="shared" si="0"/>
        <v>5678128</v>
      </c>
      <c r="M4" s="189">
        <v>5780629.8530000001</v>
      </c>
      <c r="O4" s="188" t="s">
        <v>21</v>
      </c>
      <c r="P4" s="188" t="s">
        <v>22</v>
      </c>
      <c r="Q4" s="185" t="s">
        <v>23</v>
      </c>
    </row>
    <row r="5" spans="1:17" x14ac:dyDescent="0.25">
      <c r="A5" s="172" t="s">
        <v>15</v>
      </c>
      <c r="B5" s="185" t="s">
        <v>16</v>
      </c>
      <c r="C5" s="185" t="s">
        <v>82</v>
      </c>
      <c r="D5" s="185">
        <v>56456</v>
      </c>
      <c r="E5" s="185" t="s">
        <v>66</v>
      </c>
      <c r="F5" s="185" t="s">
        <v>19</v>
      </c>
      <c r="G5" s="185" t="s">
        <v>20</v>
      </c>
      <c r="H5" s="185">
        <v>720</v>
      </c>
      <c r="I5" s="186">
        <v>1624152</v>
      </c>
      <c r="J5" s="187"/>
      <c r="K5" s="187"/>
      <c r="L5" s="186">
        <f t="shared" si="0"/>
        <v>1624152</v>
      </c>
      <c r="M5" s="186">
        <v>2144549.753</v>
      </c>
      <c r="O5" s="188" t="s">
        <v>47</v>
      </c>
      <c r="P5" s="188" t="s">
        <v>22</v>
      </c>
      <c r="Q5" s="185" t="s">
        <v>23</v>
      </c>
    </row>
    <row r="6" spans="1:17" x14ac:dyDescent="0.25">
      <c r="A6" s="172" t="s">
        <v>15</v>
      </c>
      <c r="B6" s="185" t="s">
        <v>16</v>
      </c>
      <c r="C6" s="185" t="s">
        <v>26</v>
      </c>
      <c r="D6" s="185">
        <v>6009</v>
      </c>
      <c r="E6" s="185" t="s">
        <v>18</v>
      </c>
      <c r="F6" s="185" t="s">
        <v>19</v>
      </c>
      <c r="G6" s="185" t="s">
        <v>20</v>
      </c>
      <c r="H6" s="185">
        <v>850</v>
      </c>
      <c r="I6" s="186">
        <v>6002970</v>
      </c>
      <c r="J6" s="187"/>
      <c r="K6" s="187"/>
      <c r="L6" s="186">
        <f t="shared" si="0"/>
        <v>6002970</v>
      </c>
      <c r="M6" s="186">
        <v>6625193.1830000002</v>
      </c>
      <c r="O6" s="188" t="s">
        <v>21</v>
      </c>
      <c r="P6" s="188" t="s">
        <v>22</v>
      </c>
      <c r="Q6" s="185" t="s">
        <v>23</v>
      </c>
    </row>
    <row r="7" spans="1:17" x14ac:dyDescent="0.25">
      <c r="A7" s="172" t="s">
        <v>15</v>
      </c>
      <c r="B7" s="185" t="s">
        <v>16</v>
      </c>
      <c r="C7" s="185" t="s">
        <v>26</v>
      </c>
      <c r="D7" s="185">
        <v>6009</v>
      </c>
      <c r="E7" s="185" t="s">
        <v>25</v>
      </c>
      <c r="F7" s="185" t="s">
        <v>19</v>
      </c>
      <c r="G7" s="185" t="s">
        <v>20</v>
      </c>
      <c r="H7" s="185">
        <v>850</v>
      </c>
      <c r="I7" s="186">
        <v>4956020</v>
      </c>
      <c r="J7" s="187"/>
      <c r="K7" s="187"/>
      <c r="L7" s="186">
        <f t="shared" si="0"/>
        <v>4956020</v>
      </c>
      <c r="M7" s="186">
        <v>5198648.2850000001</v>
      </c>
      <c r="O7" s="188" t="s">
        <v>21</v>
      </c>
      <c r="P7" s="188" t="s">
        <v>22</v>
      </c>
      <c r="Q7" s="185" t="s">
        <v>23</v>
      </c>
    </row>
    <row r="8" spans="1:17" x14ac:dyDescent="0.25">
      <c r="A8" s="172" t="s">
        <v>27</v>
      </c>
      <c r="B8" s="185" t="s">
        <v>16</v>
      </c>
      <c r="C8" s="185" t="s">
        <v>28</v>
      </c>
      <c r="D8" s="185">
        <v>55340</v>
      </c>
      <c r="E8" s="185" t="s">
        <v>29</v>
      </c>
      <c r="F8" s="185" t="s">
        <v>30</v>
      </c>
      <c r="G8" s="185" t="s">
        <v>31</v>
      </c>
      <c r="H8" s="185">
        <v>199</v>
      </c>
      <c r="I8" s="184">
        <v>197659.75405007365</v>
      </c>
      <c r="L8" s="184">
        <f t="shared" si="0"/>
        <v>197659.75405007365</v>
      </c>
      <c r="M8" s="184">
        <v>97200.937759941095</v>
      </c>
      <c r="O8" s="188" t="s">
        <v>21</v>
      </c>
      <c r="P8" s="188" t="s">
        <v>22</v>
      </c>
      <c r="Q8" s="185" t="s">
        <v>23</v>
      </c>
    </row>
    <row r="9" spans="1:17" x14ac:dyDescent="0.25">
      <c r="A9" s="172" t="s">
        <v>27</v>
      </c>
      <c r="B9" s="185" t="s">
        <v>16</v>
      </c>
      <c r="C9" s="185" t="s">
        <v>28</v>
      </c>
      <c r="D9" s="185">
        <v>55340</v>
      </c>
      <c r="E9" s="185" t="s">
        <v>32</v>
      </c>
      <c r="F9" s="185" t="s">
        <v>30</v>
      </c>
      <c r="G9" s="185" t="s">
        <v>31</v>
      </c>
      <c r="H9" s="185">
        <v>199</v>
      </c>
      <c r="I9" s="184">
        <v>197659.75405007365</v>
      </c>
      <c r="L9" s="184">
        <f t="shared" si="0"/>
        <v>197659.75405007365</v>
      </c>
      <c r="M9" s="184">
        <v>97200.937759941095</v>
      </c>
      <c r="O9" s="188" t="s">
        <v>21</v>
      </c>
      <c r="P9" s="188" t="s">
        <v>22</v>
      </c>
      <c r="Q9" s="185" t="s">
        <v>23</v>
      </c>
    </row>
    <row r="10" spans="1:17" x14ac:dyDescent="0.25">
      <c r="A10" s="172" t="s">
        <v>27</v>
      </c>
      <c r="B10" s="185" t="s">
        <v>16</v>
      </c>
      <c r="C10" s="185" t="s">
        <v>28</v>
      </c>
      <c r="D10" s="185">
        <v>55340</v>
      </c>
      <c r="E10" s="185" t="s">
        <v>33</v>
      </c>
      <c r="F10" s="185" t="s">
        <v>30</v>
      </c>
      <c r="G10" s="185" t="s">
        <v>34</v>
      </c>
      <c r="H10" s="185">
        <v>281</v>
      </c>
      <c r="I10" s="184">
        <v>279107.4918998527</v>
      </c>
      <c r="L10" s="184">
        <f t="shared" si="0"/>
        <v>279107.4918998527</v>
      </c>
      <c r="M10" s="184">
        <v>137253.58548011782</v>
      </c>
      <c r="O10" s="188" t="s">
        <v>21</v>
      </c>
      <c r="P10" s="188" t="s">
        <v>22</v>
      </c>
      <c r="Q10" s="185" t="s">
        <v>23</v>
      </c>
    </row>
    <row r="11" spans="1:17" x14ac:dyDescent="0.25">
      <c r="A11" s="172" t="s">
        <v>27</v>
      </c>
      <c r="B11" s="185" t="s">
        <v>16</v>
      </c>
      <c r="C11" s="185" t="s">
        <v>35</v>
      </c>
      <c r="D11" s="185">
        <v>55221</v>
      </c>
      <c r="E11" s="185" t="s">
        <v>36</v>
      </c>
      <c r="F11" s="185" t="s">
        <v>30</v>
      </c>
      <c r="G11" s="185" t="s">
        <v>31</v>
      </c>
      <c r="H11" s="185">
        <v>51</v>
      </c>
      <c r="I11" s="184">
        <v>38966.467055879897</v>
      </c>
      <c r="L11" s="184">
        <f t="shared" si="0"/>
        <v>38966.467055879897</v>
      </c>
      <c r="M11" s="184">
        <v>18558.089444537112</v>
      </c>
      <c r="O11" s="188" t="s">
        <v>21</v>
      </c>
      <c r="P11" s="188" t="s">
        <v>22</v>
      </c>
      <c r="Q11" s="185" t="s">
        <v>23</v>
      </c>
    </row>
    <row r="12" spans="1:17" x14ac:dyDescent="0.25">
      <c r="A12" s="172" t="s">
        <v>27</v>
      </c>
      <c r="B12" s="185" t="s">
        <v>16</v>
      </c>
      <c r="C12" s="185" t="s">
        <v>35</v>
      </c>
      <c r="D12" s="185">
        <v>55221</v>
      </c>
      <c r="E12" s="185" t="s">
        <v>37</v>
      </c>
      <c r="F12" s="185" t="s">
        <v>30</v>
      </c>
      <c r="G12" s="185" t="s">
        <v>31</v>
      </c>
      <c r="H12" s="185">
        <v>51</v>
      </c>
      <c r="I12" s="184">
        <v>38966.467055879897</v>
      </c>
      <c r="L12" s="184">
        <f t="shared" si="0"/>
        <v>38966.467055879897</v>
      </c>
      <c r="M12" s="184">
        <v>18558.089444537112</v>
      </c>
      <c r="O12" s="188" t="s">
        <v>21</v>
      </c>
      <c r="P12" s="188" t="s">
        <v>22</v>
      </c>
      <c r="Q12" s="185" t="s">
        <v>23</v>
      </c>
    </row>
    <row r="13" spans="1:17" x14ac:dyDescent="0.25">
      <c r="A13" s="172" t="s">
        <v>27</v>
      </c>
      <c r="B13" s="185" t="s">
        <v>16</v>
      </c>
      <c r="C13" s="185" t="s">
        <v>35</v>
      </c>
      <c r="D13" s="185">
        <v>55221</v>
      </c>
      <c r="E13" s="185" t="s">
        <v>38</v>
      </c>
      <c r="F13" s="185" t="s">
        <v>30</v>
      </c>
      <c r="G13" s="185" t="s">
        <v>31</v>
      </c>
      <c r="H13" s="185">
        <v>51</v>
      </c>
      <c r="I13" s="184">
        <v>38966.467055879897</v>
      </c>
      <c r="L13" s="184">
        <f t="shared" si="0"/>
        <v>38966.467055879897</v>
      </c>
      <c r="M13" s="184">
        <v>18558.089444537112</v>
      </c>
      <c r="O13" s="188" t="s">
        <v>21</v>
      </c>
      <c r="P13" s="188" t="s">
        <v>22</v>
      </c>
      <c r="Q13" s="185" t="s">
        <v>23</v>
      </c>
    </row>
    <row r="14" spans="1:17" x14ac:dyDescent="0.25">
      <c r="A14" s="172" t="s">
        <v>27</v>
      </c>
      <c r="B14" s="185" t="s">
        <v>16</v>
      </c>
      <c r="C14" s="185" t="s">
        <v>35</v>
      </c>
      <c r="D14" s="185">
        <v>55221</v>
      </c>
      <c r="E14" s="185" t="s">
        <v>39</v>
      </c>
      <c r="F14" s="185" t="s">
        <v>30</v>
      </c>
      <c r="G14" s="185" t="s">
        <v>31</v>
      </c>
      <c r="H14" s="185">
        <v>51</v>
      </c>
      <c r="I14" s="184">
        <v>38966.467055879897</v>
      </c>
      <c r="L14" s="184">
        <f t="shared" si="0"/>
        <v>38966.467055879897</v>
      </c>
      <c r="M14" s="184">
        <v>18558.089444537112</v>
      </c>
      <c r="O14" s="188" t="s">
        <v>21</v>
      </c>
      <c r="P14" s="188" t="s">
        <v>22</v>
      </c>
      <c r="Q14" s="185" t="s">
        <v>23</v>
      </c>
    </row>
    <row r="15" spans="1:17" x14ac:dyDescent="0.25">
      <c r="A15" s="172" t="s">
        <v>27</v>
      </c>
      <c r="B15" s="185" t="s">
        <v>16</v>
      </c>
      <c r="C15" s="185" t="s">
        <v>35</v>
      </c>
      <c r="D15" s="185">
        <v>55221</v>
      </c>
      <c r="E15" s="185" t="s">
        <v>40</v>
      </c>
      <c r="F15" s="185" t="s">
        <v>30</v>
      </c>
      <c r="G15" s="185" t="s">
        <v>31</v>
      </c>
      <c r="H15" s="185">
        <v>51</v>
      </c>
      <c r="I15" s="184">
        <v>38966.467055879897</v>
      </c>
      <c r="L15" s="184">
        <f t="shared" si="0"/>
        <v>38966.467055879897</v>
      </c>
      <c r="M15" s="184">
        <v>18558.089444537112</v>
      </c>
      <c r="O15" s="188" t="s">
        <v>21</v>
      </c>
      <c r="P15" s="188" t="s">
        <v>22</v>
      </c>
      <c r="Q15" s="185" t="s">
        <v>23</v>
      </c>
    </row>
    <row r="16" spans="1:17" x14ac:dyDescent="0.25">
      <c r="A16" s="172" t="s">
        <v>27</v>
      </c>
      <c r="B16" s="185" t="s">
        <v>16</v>
      </c>
      <c r="C16" s="185" t="s">
        <v>35</v>
      </c>
      <c r="D16" s="185">
        <v>55221</v>
      </c>
      <c r="E16" s="185" t="s">
        <v>41</v>
      </c>
      <c r="F16" s="185" t="s">
        <v>30</v>
      </c>
      <c r="G16" s="185" t="s">
        <v>31</v>
      </c>
      <c r="H16" s="185">
        <v>51</v>
      </c>
      <c r="I16" s="184">
        <v>38966.467055879897</v>
      </c>
      <c r="L16" s="184">
        <f t="shared" si="0"/>
        <v>38966.467055879897</v>
      </c>
      <c r="M16" s="184">
        <v>18558.089444537112</v>
      </c>
      <c r="O16" s="188" t="s">
        <v>21</v>
      </c>
      <c r="P16" s="188" t="s">
        <v>22</v>
      </c>
      <c r="Q16" s="185" t="s">
        <v>23</v>
      </c>
    </row>
    <row r="17" spans="1:17" x14ac:dyDescent="0.25">
      <c r="A17" s="172" t="s">
        <v>27</v>
      </c>
      <c r="B17" s="185" t="s">
        <v>16</v>
      </c>
      <c r="C17" s="185" t="s">
        <v>35</v>
      </c>
      <c r="D17" s="185">
        <v>55221</v>
      </c>
      <c r="E17" s="185" t="s">
        <v>42</v>
      </c>
      <c r="F17" s="185" t="s">
        <v>30</v>
      </c>
      <c r="G17" s="185" t="s">
        <v>31</v>
      </c>
      <c r="H17" s="185">
        <v>83.5</v>
      </c>
      <c r="I17" s="184">
        <v>63798.039199332779</v>
      </c>
      <c r="L17" s="184">
        <f t="shared" si="0"/>
        <v>63798.039199332779</v>
      </c>
      <c r="M17" s="184">
        <v>30384.322914095083</v>
      </c>
      <c r="O17" s="188" t="s">
        <v>21</v>
      </c>
      <c r="P17" s="188" t="s">
        <v>22</v>
      </c>
      <c r="Q17" s="185" t="s">
        <v>23</v>
      </c>
    </row>
    <row r="18" spans="1:17" x14ac:dyDescent="0.25">
      <c r="A18" s="172" t="s">
        <v>27</v>
      </c>
      <c r="B18" s="185" t="s">
        <v>16</v>
      </c>
      <c r="C18" s="185" t="s">
        <v>35</v>
      </c>
      <c r="D18" s="185">
        <v>55221</v>
      </c>
      <c r="E18" s="185" t="s">
        <v>43</v>
      </c>
      <c r="F18" s="185" t="s">
        <v>30</v>
      </c>
      <c r="G18" s="185" t="s">
        <v>34</v>
      </c>
      <c r="H18" s="185">
        <v>105</v>
      </c>
      <c r="I18" s="184">
        <v>80225.079232693912</v>
      </c>
      <c r="L18" s="184">
        <f t="shared" si="0"/>
        <v>80225.079232693912</v>
      </c>
      <c r="M18" s="184">
        <v>38207.831209341115</v>
      </c>
      <c r="O18" s="188" t="s">
        <v>21</v>
      </c>
      <c r="P18" s="188" t="s">
        <v>22</v>
      </c>
      <c r="Q18" s="185" t="s">
        <v>23</v>
      </c>
    </row>
    <row r="19" spans="1:17" x14ac:dyDescent="0.25">
      <c r="A19" s="172" t="s">
        <v>27</v>
      </c>
      <c r="B19" s="185" t="s">
        <v>16</v>
      </c>
      <c r="C19" s="185" t="s">
        <v>35</v>
      </c>
      <c r="D19" s="185">
        <v>55221</v>
      </c>
      <c r="E19" s="185" t="s">
        <v>44</v>
      </c>
      <c r="F19" s="185" t="s">
        <v>30</v>
      </c>
      <c r="G19" s="185" t="s">
        <v>34</v>
      </c>
      <c r="H19" s="185">
        <v>105</v>
      </c>
      <c r="I19" s="184">
        <v>80225.079232693912</v>
      </c>
      <c r="L19" s="184">
        <f t="shared" si="0"/>
        <v>80225.079232693912</v>
      </c>
      <c r="M19" s="184">
        <v>38207.831209341115</v>
      </c>
      <c r="O19" s="188" t="s">
        <v>21</v>
      </c>
      <c r="P19" s="188" t="s">
        <v>22</v>
      </c>
      <c r="Q19" s="185" t="s">
        <v>23</v>
      </c>
    </row>
    <row r="20" spans="1:17" x14ac:dyDescent="0.25">
      <c r="A20" s="172" t="s">
        <v>27</v>
      </c>
      <c r="B20" s="185" t="s">
        <v>16</v>
      </c>
      <c r="C20" s="185" t="s">
        <v>45</v>
      </c>
      <c r="D20" s="185">
        <v>55714</v>
      </c>
      <c r="E20" s="185" t="s">
        <v>46</v>
      </c>
      <c r="F20" s="185" t="s">
        <v>30</v>
      </c>
      <c r="G20" s="185" t="s">
        <v>31</v>
      </c>
      <c r="H20" s="185">
        <v>242</v>
      </c>
      <c r="I20" s="184">
        <v>592472.76943699736</v>
      </c>
      <c r="L20" s="184">
        <f t="shared" si="0"/>
        <v>592472.76943699736</v>
      </c>
      <c r="M20" s="184">
        <v>249484.04947538892</v>
      </c>
      <c r="O20" s="188" t="s">
        <v>47</v>
      </c>
      <c r="P20" s="188" t="s">
        <v>22</v>
      </c>
      <c r="Q20" s="185" t="s">
        <v>23</v>
      </c>
    </row>
    <row r="21" spans="1:17" x14ac:dyDescent="0.25">
      <c r="A21" s="172" t="s">
        <v>27</v>
      </c>
      <c r="B21" s="185" t="s">
        <v>16</v>
      </c>
      <c r="C21" s="185" t="s">
        <v>45</v>
      </c>
      <c r="D21" s="185">
        <v>55714</v>
      </c>
      <c r="E21" s="185" t="s">
        <v>48</v>
      </c>
      <c r="F21" s="185" t="s">
        <v>30</v>
      </c>
      <c r="G21" s="185" t="s">
        <v>31</v>
      </c>
      <c r="H21" s="185">
        <v>242</v>
      </c>
      <c r="I21" s="184">
        <v>592472.76943699736</v>
      </c>
      <c r="L21" s="184">
        <f t="shared" si="0"/>
        <v>592472.76943699736</v>
      </c>
      <c r="M21" s="184">
        <v>249484.04947538892</v>
      </c>
      <c r="O21" s="188" t="s">
        <v>47</v>
      </c>
      <c r="P21" s="188" t="s">
        <v>22</v>
      </c>
      <c r="Q21" s="185" t="s">
        <v>23</v>
      </c>
    </row>
    <row r="22" spans="1:17" x14ac:dyDescent="0.25">
      <c r="A22" s="172" t="s">
        <v>27</v>
      </c>
      <c r="B22" s="185" t="s">
        <v>16</v>
      </c>
      <c r="C22" s="185" t="s">
        <v>45</v>
      </c>
      <c r="D22" s="185">
        <v>55714</v>
      </c>
      <c r="E22" s="185" t="s">
        <v>49</v>
      </c>
      <c r="F22" s="185" t="s">
        <v>30</v>
      </c>
      <c r="G22" s="185" t="s">
        <v>34</v>
      </c>
      <c r="H22" s="185">
        <v>262</v>
      </c>
      <c r="I22" s="184">
        <v>641437.46112600539</v>
      </c>
      <c r="L22" s="184">
        <f t="shared" si="0"/>
        <v>641437.46112600539</v>
      </c>
      <c r="M22" s="184">
        <v>270102.56596095831</v>
      </c>
      <c r="O22" s="188" t="s">
        <v>47</v>
      </c>
      <c r="P22" s="188" t="s">
        <v>22</v>
      </c>
      <c r="Q22" s="185" t="s">
        <v>23</v>
      </c>
    </row>
    <row r="23" spans="1:17" x14ac:dyDescent="0.25">
      <c r="A23" s="172" t="s">
        <v>27</v>
      </c>
      <c r="B23" s="185" t="s">
        <v>16</v>
      </c>
      <c r="C23" s="185" t="s">
        <v>83</v>
      </c>
      <c r="D23" s="185">
        <v>55418</v>
      </c>
      <c r="E23" s="185" t="s">
        <v>51</v>
      </c>
      <c r="F23" s="185" t="s">
        <v>30</v>
      </c>
      <c r="G23" s="185" t="s">
        <v>31</v>
      </c>
      <c r="H23" s="185">
        <v>198.9</v>
      </c>
      <c r="I23" s="184">
        <v>226457.44473978737</v>
      </c>
      <c r="L23" s="184">
        <f t="shared" si="0"/>
        <v>226457.44473978737</v>
      </c>
      <c r="M23" s="184">
        <v>97625.823488108566</v>
      </c>
      <c r="O23" s="188" t="s">
        <v>47</v>
      </c>
      <c r="P23" s="188" t="s">
        <v>22</v>
      </c>
      <c r="Q23" s="185" t="s">
        <v>23</v>
      </c>
    </row>
    <row r="24" spans="1:17" x14ac:dyDescent="0.25">
      <c r="A24" s="172" t="s">
        <v>27</v>
      </c>
      <c r="B24" s="185" t="s">
        <v>16</v>
      </c>
      <c r="C24" s="185" t="s">
        <v>83</v>
      </c>
      <c r="D24" s="185">
        <v>55418</v>
      </c>
      <c r="E24" s="185" t="s">
        <v>52</v>
      </c>
      <c r="F24" s="185" t="s">
        <v>30</v>
      </c>
      <c r="G24" s="185" t="s">
        <v>31</v>
      </c>
      <c r="H24" s="185">
        <v>198.9</v>
      </c>
      <c r="I24" s="184">
        <v>226457.44473978737</v>
      </c>
      <c r="L24" s="184">
        <f t="shared" si="0"/>
        <v>226457.44473978737</v>
      </c>
      <c r="M24" s="184">
        <v>97625.823488108566</v>
      </c>
      <c r="O24" s="188" t="s">
        <v>47</v>
      </c>
      <c r="P24" s="188" t="s">
        <v>22</v>
      </c>
      <c r="Q24" s="185" t="s">
        <v>23</v>
      </c>
    </row>
    <row r="25" spans="1:17" x14ac:dyDescent="0.25">
      <c r="A25" s="172" t="s">
        <v>27</v>
      </c>
      <c r="B25" s="185" t="s">
        <v>16</v>
      </c>
      <c r="C25" s="185" t="s">
        <v>83</v>
      </c>
      <c r="D25" s="185">
        <v>55418</v>
      </c>
      <c r="E25" s="185" t="s">
        <v>49</v>
      </c>
      <c r="F25" s="185" t="s">
        <v>30</v>
      </c>
      <c r="G25" s="185" t="s">
        <v>34</v>
      </c>
      <c r="H25" s="185">
        <v>317</v>
      </c>
      <c r="I25" s="184">
        <v>360920.11052042531</v>
      </c>
      <c r="L25" s="184">
        <f t="shared" si="0"/>
        <v>360920.11052042531</v>
      </c>
      <c r="M25" s="184">
        <v>155592.69002378287</v>
      </c>
      <c r="O25" s="188" t="s">
        <v>47</v>
      </c>
      <c r="P25" s="188" t="s">
        <v>22</v>
      </c>
      <c r="Q25" s="185" t="s">
        <v>23</v>
      </c>
    </row>
    <row r="26" spans="1:17" x14ac:dyDescent="0.25">
      <c r="A26" s="172" t="s">
        <v>27</v>
      </c>
      <c r="B26" s="185" t="s">
        <v>16</v>
      </c>
      <c r="C26" s="185" t="s">
        <v>53</v>
      </c>
      <c r="D26" s="185">
        <v>55075</v>
      </c>
      <c r="E26" s="185" t="s">
        <v>57</v>
      </c>
      <c r="F26" s="185" t="s">
        <v>30</v>
      </c>
      <c r="G26" s="185" t="s">
        <v>34</v>
      </c>
      <c r="H26" s="185">
        <v>56</v>
      </c>
      <c r="I26" s="184">
        <v>286244.71186440677</v>
      </c>
      <c r="J26" s="183">
        <v>0.53616126647958806</v>
      </c>
      <c r="K26" s="184">
        <f>(4/3)*3.412*I26*(1/J26-1)</f>
        <v>1126566.4335796239</v>
      </c>
      <c r="L26" s="184">
        <f>I26+ 0.75*K26/3.412</f>
        <v>533878.01350119396</v>
      </c>
      <c r="M26" s="184">
        <v>165607.59338983049</v>
      </c>
      <c r="O26" s="188" t="s">
        <v>55</v>
      </c>
      <c r="P26" s="188" t="s">
        <v>56</v>
      </c>
      <c r="Q26" s="185" t="s">
        <v>23</v>
      </c>
    </row>
    <row r="27" spans="1:17" x14ac:dyDescent="0.25">
      <c r="A27" s="172" t="s">
        <v>27</v>
      </c>
      <c r="B27" s="185" t="s">
        <v>16</v>
      </c>
      <c r="C27" s="185" t="s">
        <v>53</v>
      </c>
      <c r="D27" s="185">
        <v>55075</v>
      </c>
      <c r="E27" s="185" t="s">
        <v>54</v>
      </c>
      <c r="F27" s="185" t="s">
        <v>30</v>
      </c>
      <c r="G27" s="185" t="s">
        <v>31</v>
      </c>
      <c r="H27" s="185">
        <v>180</v>
      </c>
      <c r="I27" s="184">
        <v>920072.28813559317</v>
      </c>
      <c r="J27" s="183">
        <v>0.53616126647958806</v>
      </c>
      <c r="K27" s="184">
        <f>(4/3)*3.412*I27*(1/J27-1)</f>
        <v>3621106.3936487911</v>
      </c>
      <c r="L27" s="184">
        <f>I27+ 0.75*K27/3.412</f>
        <v>1716036.4719681235</v>
      </c>
      <c r="M27" s="184">
        <v>532310.12161016942</v>
      </c>
      <c r="O27" s="188" t="s">
        <v>55</v>
      </c>
      <c r="P27" s="188" t="s">
        <v>56</v>
      </c>
      <c r="Q27" s="185" t="s">
        <v>23</v>
      </c>
    </row>
    <row r="28" spans="1:17" x14ac:dyDescent="0.25">
      <c r="A28" s="172" t="s">
        <v>27</v>
      </c>
      <c r="B28" s="185" t="s">
        <v>16</v>
      </c>
      <c r="C28" s="185" t="s">
        <v>58</v>
      </c>
      <c r="D28" s="185">
        <v>201</v>
      </c>
      <c r="E28" s="185" t="s">
        <v>18</v>
      </c>
      <c r="F28" s="185" t="s">
        <v>30</v>
      </c>
      <c r="G28" s="185" t="s">
        <v>34</v>
      </c>
      <c r="H28" s="185">
        <v>59</v>
      </c>
      <c r="I28" s="184">
        <v>26306.664864864866</v>
      </c>
      <c r="L28" s="184">
        <f t="shared" ref="L28:L55" si="1">I28</f>
        <v>26306.664864864866</v>
      </c>
      <c r="M28" s="184">
        <v>15245.533983783784</v>
      </c>
      <c r="O28" s="188" t="s">
        <v>21</v>
      </c>
      <c r="P28" s="188" t="s">
        <v>22</v>
      </c>
      <c r="Q28" s="185" t="s">
        <v>23</v>
      </c>
    </row>
    <row r="29" spans="1:17" x14ac:dyDescent="0.25">
      <c r="A29" s="172" t="s">
        <v>27</v>
      </c>
      <c r="B29" s="185" t="s">
        <v>16</v>
      </c>
      <c r="C29" s="185" t="s">
        <v>58</v>
      </c>
      <c r="D29" s="185">
        <v>201</v>
      </c>
      <c r="E29" s="185" t="s">
        <v>25</v>
      </c>
      <c r="F29" s="185" t="s">
        <v>30</v>
      </c>
      <c r="G29" s="185" t="s">
        <v>31</v>
      </c>
      <c r="H29" s="185">
        <v>126</v>
      </c>
      <c r="I29" s="184">
        <v>56180.335135135138</v>
      </c>
      <c r="L29" s="184">
        <f t="shared" si="1"/>
        <v>56180.335135135138</v>
      </c>
      <c r="M29" s="184">
        <v>32558.259016216212</v>
      </c>
      <c r="O29" s="188" t="s">
        <v>21</v>
      </c>
      <c r="P29" s="188" t="s">
        <v>22</v>
      </c>
      <c r="Q29" s="185" t="s">
        <v>23</v>
      </c>
    </row>
    <row r="30" spans="1:17" x14ac:dyDescent="0.25">
      <c r="A30" s="172" t="s">
        <v>27</v>
      </c>
      <c r="B30" s="185" t="s">
        <v>16</v>
      </c>
      <c r="C30" s="185" t="s">
        <v>59</v>
      </c>
      <c r="D30" s="185">
        <v>55380</v>
      </c>
      <c r="E30" s="185" t="s">
        <v>29</v>
      </c>
      <c r="F30" s="185" t="s">
        <v>30</v>
      </c>
      <c r="G30" s="185" t="s">
        <v>31</v>
      </c>
      <c r="H30" s="185">
        <v>176</v>
      </c>
      <c r="I30" s="184">
        <v>462244.2108731466</v>
      </c>
      <c r="L30" s="184">
        <f t="shared" si="1"/>
        <v>462244.2108731466</v>
      </c>
      <c r="M30" s="184">
        <v>213231.8509917628</v>
      </c>
      <c r="O30" s="188" t="s">
        <v>47</v>
      </c>
      <c r="P30" s="188" t="s">
        <v>22</v>
      </c>
      <c r="Q30" s="185" t="s">
        <v>23</v>
      </c>
    </row>
    <row r="31" spans="1:17" x14ac:dyDescent="0.25">
      <c r="A31" s="172" t="s">
        <v>27</v>
      </c>
      <c r="B31" s="185" t="s">
        <v>16</v>
      </c>
      <c r="C31" s="185" t="s">
        <v>59</v>
      </c>
      <c r="D31" s="185">
        <v>55380</v>
      </c>
      <c r="E31" s="185" t="s">
        <v>32</v>
      </c>
      <c r="F31" s="185" t="s">
        <v>30</v>
      </c>
      <c r="G31" s="185" t="s">
        <v>31</v>
      </c>
      <c r="H31" s="185">
        <v>176</v>
      </c>
      <c r="I31" s="184">
        <v>462244.2108731466</v>
      </c>
      <c r="L31" s="184">
        <f t="shared" si="1"/>
        <v>462244.2108731466</v>
      </c>
      <c r="M31" s="184">
        <v>213231.8509917628</v>
      </c>
      <c r="O31" s="188" t="s">
        <v>47</v>
      </c>
      <c r="P31" s="188" t="s">
        <v>22</v>
      </c>
      <c r="Q31" s="185" t="s">
        <v>23</v>
      </c>
    </row>
    <row r="32" spans="1:17" x14ac:dyDescent="0.25">
      <c r="A32" s="172" t="s">
        <v>27</v>
      </c>
      <c r="B32" s="185" t="s">
        <v>16</v>
      </c>
      <c r="C32" s="185" t="s">
        <v>59</v>
      </c>
      <c r="D32" s="185">
        <v>55380</v>
      </c>
      <c r="E32" s="185" t="s">
        <v>60</v>
      </c>
      <c r="F32" s="185" t="s">
        <v>30</v>
      </c>
      <c r="G32" s="185" t="s">
        <v>31</v>
      </c>
      <c r="H32" s="185">
        <v>176</v>
      </c>
      <c r="I32" s="184">
        <v>462244.2108731466</v>
      </c>
      <c r="L32" s="184">
        <f t="shared" si="1"/>
        <v>462244.2108731466</v>
      </c>
      <c r="M32" s="184">
        <v>213231.8509917628</v>
      </c>
      <c r="O32" s="188" t="s">
        <v>47</v>
      </c>
      <c r="P32" s="188" t="s">
        <v>22</v>
      </c>
      <c r="Q32" s="185" t="s">
        <v>23</v>
      </c>
    </row>
    <row r="33" spans="1:17" x14ac:dyDescent="0.25">
      <c r="A33" s="172" t="s">
        <v>27</v>
      </c>
      <c r="B33" s="185" t="s">
        <v>16</v>
      </c>
      <c r="C33" s="185" t="s">
        <v>59</v>
      </c>
      <c r="D33" s="185">
        <v>55380</v>
      </c>
      <c r="E33" s="185" t="s">
        <v>61</v>
      </c>
      <c r="F33" s="185" t="s">
        <v>30</v>
      </c>
      <c r="G33" s="185" t="s">
        <v>31</v>
      </c>
      <c r="H33" s="185">
        <v>176</v>
      </c>
      <c r="I33" s="184">
        <v>462244.2108731466</v>
      </c>
      <c r="L33" s="184">
        <f t="shared" si="1"/>
        <v>462244.2108731466</v>
      </c>
      <c r="M33" s="184">
        <v>213231.8509917628</v>
      </c>
      <c r="O33" s="188" t="s">
        <v>47</v>
      </c>
      <c r="P33" s="188" t="s">
        <v>22</v>
      </c>
      <c r="Q33" s="185" t="s">
        <v>23</v>
      </c>
    </row>
    <row r="34" spans="1:17" x14ac:dyDescent="0.25">
      <c r="A34" s="172" t="s">
        <v>27</v>
      </c>
      <c r="B34" s="185" t="s">
        <v>16</v>
      </c>
      <c r="C34" s="185" t="s">
        <v>59</v>
      </c>
      <c r="D34" s="185">
        <v>55380</v>
      </c>
      <c r="E34" s="185" t="s">
        <v>62</v>
      </c>
      <c r="F34" s="185" t="s">
        <v>30</v>
      </c>
      <c r="G34" s="185" t="s">
        <v>31</v>
      </c>
      <c r="H34" s="185">
        <v>176</v>
      </c>
      <c r="I34" s="184">
        <v>462244.2108731466</v>
      </c>
      <c r="L34" s="184">
        <f t="shared" si="1"/>
        <v>462244.2108731466</v>
      </c>
      <c r="M34" s="184">
        <v>213231.8509917628</v>
      </c>
      <c r="O34" s="188" t="s">
        <v>47</v>
      </c>
      <c r="P34" s="188" t="s">
        <v>22</v>
      </c>
      <c r="Q34" s="185" t="s">
        <v>23</v>
      </c>
    </row>
    <row r="35" spans="1:17" x14ac:dyDescent="0.25">
      <c r="A35" s="172" t="s">
        <v>27</v>
      </c>
      <c r="B35" s="185" t="s">
        <v>16</v>
      </c>
      <c r="C35" s="185" t="s">
        <v>59</v>
      </c>
      <c r="D35" s="185">
        <v>55380</v>
      </c>
      <c r="E35" s="185" t="s">
        <v>63</v>
      </c>
      <c r="F35" s="185" t="s">
        <v>30</v>
      </c>
      <c r="G35" s="185" t="s">
        <v>31</v>
      </c>
      <c r="H35" s="185">
        <v>176</v>
      </c>
      <c r="I35" s="184">
        <v>462244.2108731466</v>
      </c>
      <c r="L35" s="184">
        <f t="shared" si="1"/>
        <v>462244.2108731466</v>
      </c>
      <c r="M35" s="184">
        <v>213231.8509917628</v>
      </c>
      <c r="O35" s="188" t="s">
        <v>47</v>
      </c>
      <c r="P35" s="188" t="s">
        <v>22</v>
      </c>
      <c r="Q35" s="185" t="s">
        <v>23</v>
      </c>
    </row>
    <row r="36" spans="1:17" x14ac:dyDescent="0.25">
      <c r="A36" s="172" t="s">
        <v>27</v>
      </c>
      <c r="B36" s="185" t="s">
        <v>16</v>
      </c>
      <c r="C36" s="185" t="s">
        <v>59</v>
      </c>
      <c r="D36" s="185">
        <v>55380</v>
      </c>
      <c r="E36" s="185" t="s">
        <v>64</v>
      </c>
      <c r="F36" s="185" t="s">
        <v>30</v>
      </c>
      <c r="G36" s="185" t="s">
        <v>31</v>
      </c>
      <c r="H36" s="185">
        <v>176</v>
      </c>
      <c r="I36" s="184">
        <v>462244.2108731466</v>
      </c>
      <c r="L36" s="184">
        <f t="shared" si="1"/>
        <v>462244.2108731466</v>
      </c>
      <c r="M36" s="184">
        <v>213231.8509917628</v>
      </c>
      <c r="O36" s="188" t="s">
        <v>47</v>
      </c>
      <c r="P36" s="188" t="s">
        <v>22</v>
      </c>
      <c r="Q36" s="185" t="s">
        <v>23</v>
      </c>
    </row>
    <row r="37" spans="1:17" x14ac:dyDescent="0.25">
      <c r="A37" s="172" t="s">
        <v>27</v>
      </c>
      <c r="B37" s="185" t="s">
        <v>16</v>
      </c>
      <c r="C37" s="185" t="s">
        <v>59</v>
      </c>
      <c r="D37" s="185">
        <v>55380</v>
      </c>
      <c r="E37" s="185" t="s">
        <v>65</v>
      </c>
      <c r="F37" s="185" t="s">
        <v>30</v>
      </c>
      <c r="G37" s="185" t="s">
        <v>31</v>
      </c>
      <c r="H37" s="185">
        <v>176</v>
      </c>
      <c r="I37" s="184">
        <v>462244.2108731466</v>
      </c>
      <c r="L37" s="184">
        <f t="shared" si="1"/>
        <v>462244.2108731466</v>
      </c>
      <c r="M37" s="184">
        <v>213231.8509917628</v>
      </c>
      <c r="O37" s="188" t="s">
        <v>47</v>
      </c>
      <c r="P37" s="188" t="s">
        <v>22</v>
      </c>
      <c r="Q37" s="185" t="s">
        <v>23</v>
      </c>
    </row>
    <row r="38" spans="1:17" x14ac:dyDescent="0.25">
      <c r="A38" s="172" t="s">
        <v>27</v>
      </c>
      <c r="B38" s="185" t="s">
        <v>16</v>
      </c>
      <c r="C38" s="185" t="s">
        <v>59</v>
      </c>
      <c r="D38" s="185">
        <v>55380</v>
      </c>
      <c r="E38" s="185" t="s">
        <v>66</v>
      </c>
      <c r="F38" s="185" t="s">
        <v>30</v>
      </c>
      <c r="G38" s="185" t="s">
        <v>34</v>
      </c>
      <c r="H38" s="185">
        <v>255</v>
      </c>
      <c r="I38" s="184">
        <v>669728.8282537068</v>
      </c>
      <c r="L38" s="184">
        <f t="shared" si="1"/>
        <v>669728.8282537068</v>
      </c>
      <c r="M38" s="184">
        <v>308943.87501647451</v>
      </c>
      <c r="O38" s="188" t="s">
        <v>47</v>
      </c>
      <c r="P38" s="188" t="s">
        <v>22</v>
      </c>
      <c r="Q38" s="185" t="s">
        <v>23</v>
      </c>
    </row>
    <row r="39" spans="1:17" x14ac:dyDescent="0.25">
      <c r="A39" s="172" t="s">
        <v>27</v>
      </c>
      <c r="B39" s="185" t="s">
        <v>16</v>
      </c>
      <c r="C39" s="185" t="s">
        <v>59</v>
      </c>
      <c r="D39" s="185">
        <v>55380</v>
      </c>
      <c r="E39" s="185" t="s">
        <v>67</v>
      </c>
      <c r="F39" s="185" t="s">
        <v>30</v>
      </c>
      <c r="G39" s="185" t="s">
        <v>34</v>
      </c>
      <c r="H39" s="185">
        <v>255</v>
      </c>
      <c r="I39" s="184">
        <v>669728.8282537068</v>
      </c>
      <c r="L39" s="184">
        <f t="shared" si="1"/>
        <v>669728.8282537068</v>
      </c>
      <c r="M39" s="184">
        <v>308943.87501647451</v>
      </c>
      <c r="O39" s="188" t="s">
        <v>47</v>
      </c>
      <c r="P39" s="188" t="s">
        <v>22</v>
      </c>
      <c r="Q39" s="185" t="s">
        <v>23</v>
      </c>
    </row>
    <row r="40" spans="1:17" x14ac:dyDescent="0.25">
      <c r="A40" s="172" t="s">
        <v>27</v>
      </c>
      <c r="B40" s="185" t="s">
        <v>16</v>
      </c>
      <c r="C40" s="185" t="s">
        <v>59</v>
      </c>
      <c r="D40" s="185">
        <v>55380</v>
      </c>
      <c r="E40" s="185" t="s">
        <v>68</v>
      </c>
      <c r="F40" s="185" t="s">
        <v>30</v>
      </c>
      <c r="G40" s="185" t="s">
        <v>34</v>
      </c>
      <c r="H40" s="185">
        <v>255</v>
      </c>
      <c r="I40" s="184">
        <v>669728.8282537068</v>
      </c>
      <c r="L40" s="184">
        <f t="shared" si="1"/>
        <v>669728.8282537068</v>
      </c>
      <c r="M40" s="184">
        <v>308943.87501647451</v>
      </c>
      <c r="O40" s="188" t="s">
        <v>47</v>
      </c>
      <c r="P40" s="188" t="s">
        <v>22</v>
      </c>
      <c r="Q40" s="185" t="s">
        <v>23</v>
      </c>
    </row>
    <row r="41" spans="1:17" x14ac:dyDescent="0.25">
      <c r="A41" s="172" t="s">
        <v>27</v>
      </c>
      <c r="B41" s="185" t="s">
        <v>16</v>
      </c>
      <c r="C41" s="185" t="s">
        <v>59</v>
      </c>
      <c r="D41" s="185">
        <v>55380</v>
      </c>
      <c r="E41" s="185" t="s">
        <v>69</v>
      </c>
      <c r="F41" s="185" t="s">
        <v>30</v>
      </c>
      <c r="G41" s="185" t="s">
        <v>34</v>
      </c>
      <c r="H41" s="185">
        <v>255</v>
      </c>
      <c r="I41" s="184">
        <v>669728.8282537068</v>
      </c>
      <c r="L41" s="184">
        <f t="shared" si="1"/>
        <v>669728.8282537068</v>
      </c>
      <c r="M41" s="184">
        <v>308943.87501647451</v>
      </c>
      <c r="O41" s="188" t="s">
        <v>47</v>
      </c>
      <c r="P41" s="188" t="s">
        <v>22</v>
      </c>
      <c r="Q41" s="185" t="s">
        <v>23</v>
      </c>
    </row>
    <row r="42" spans="1:17" x14ac:dyDescent="0.25">
      <c r="A42" s="172" t="s">
        <v>70</v>
      </c>
      <c r="B42" s="185" t="s">
        <v>16</v>
      </c>
      <c r="C42" s="185" t="s">
        <v>71</v>
      </c>
      <c r="D42" s="185">
        <v>202</v>
      </c>
      <c r="E42" s="185" t="s">
        <v>18</v>
      </c>
      <c r="F42" s="185" t="s">
        <v>30</v>
      </c>
      <c r="G42" s="185" t="s">
        <v>20</v>
      </c>
      <c r="H42" s="185">
        <v>120</v>
      </c>
      <c r="I42" s="184">
        <v>46243</v>
      </c>
      <c r="L42" s="184">
        <f t="shared" si="1"/>
        <v>46243</v>
      </c>
      <c r="M42" s="184">
        <v>26993.66</v>
      </c>
      <c r="O42" s="188" t="s">
        <v>21</v>
      </c>
      <c r="P42" s="188" t="s">
        <v>22</v>
      </c>
      <c r="Q42" s="185" t="s">
        <v>23</v>
      </c>
    </row>
    <row r="43" spans="1:17" x14ac:dyDescent="0.25">
      <c r="A43" s="172" t="s">
        <v>70</v>
      </c>
      <c r="B43" s="185" t="s">
        <v>16</v>
      </c>
      <c r="C43" s="185" t="s">
        <v>72</v>
      </c>
      <c r="D43" s="185">
        <v>167</v>
      </c>
      <c r="E43" s="185" t="s">
        <v>25</v>
      </c>
      <c r="F43" s="185" t="s">
        <v>30</v>
      </c>
      <c r="G43" s="185" t="s">
        <v>20</v>
      </c>
      <c r="H43" s="185">
        <v>69</v>
      </c>
      <c r="I43" s="190">
        <v>-144</v>
      </c>
      <c r="L43" s="190">
        <f t="shared" si="1"/>
        <v>-144</v>
      </c>
      <c r="M43" s="190">
        <v>0</v>
      </c>
      <c r="O43" s="188" t="s">
        <v>21</v>
      </c>
      <c r="P43" s="188" t="s">
        <v>22</v>
      </c>
      <c r="Q43" s="185" t="s">
        <v>76</v>
      </c>
    </row>
    <row r="44" spans="1:17" x14ac:dyDescent="0.25">
      <c r="A44" s="172" t="s">
        <v>70</v>
      </c>
      <c r="B44" s="185" t="s">
        <v>16</v>
      </c>
      <c r="C44" s="185" t="s">
        <v>72</v>
      </c>
      <c r="D44" s="185">
        <v>167</v>
      </c>
      <c r="E44" s="185" t="s">
        <v>74</v>
      </c>
      <c r="F44" s="185" t="s">
        <v>30</v>
      </c>
      <c r="G44" s="185" t="s">
        <v>20</v>
      </c>
      <c r="H44" s="185">
        <v>156.19999999999999</v>
      </c>
      <c r="I44" s="190">
        <v>45666</v>
      </c>
      <c r="L44" s="190">
        <f t="shared" si="1"/>
        <v>45666</v>
      </c>
      <c r="M44" s="190">
        <v>39886.33</v>
      </c>
      <c r="O44" s="188" t="s">
        <v>21</v>
      </c>
      <c r="P44" s="188" t="s">
        <v>22</v>
      </c>
      <c r="Q44" s="185" t="s">
        <v>76</v>
      </c>
    </row>
    <row r="45" spans="1:17" x14ac:dyDescent="0.25">
      <c r="A45" s="172" t="s">
        <v>70</v>
      </c>
      <c r="B45" s="185" t="s">
        <v>16</v>
      </c>
      <c r="C45" s="185" t="s">
        <v>75</v>
      </c>
      <c r="D45" s="185">
        <v>168</v>
      </c>
      <c r="E45" s="185" t="s">
        <v>18</v>
      </c>
      <c r="F45" s="185" t="s">
        <v>30</v>
      </c>
      <c r="G45" s="185" t="s">
        <v>20</v>
      </c>
      <c r="H45" s="185">
        <v>69</v>
      </c>
      <c r="I45" s="184">
        <v>0</v>
      </c>
      <c r="L45" s="184">
        <f t="shared" si="1"/>
        <v>0</v>
      </c>
      <c r="M45" s="184">
        <v>0</v>
      </c>
      <c r="O45" s="188" t="s">
        <v>21</v>
      </c>
      <c r="P45" s="188" t="s">
        <v>22</v>
      </c>
      <c r="Q45" s="185" t="s">
        <v>76</v>
      </c>
    </row>
    <row r="46" spans="1:17" x14ac:dyDescent="0.25">
      <c r="A46" s="172" t="s">
        <v>70</v>
      </c>
      <c r="B46" s="185" t="s">
        <v>16</v>
      </c>
      <c r="C46" s="185" t="s">
        <v>75</v>
      </c>
      <c r="D46" s="185">
        <v>168</v>
      </c>
      <c r="E46" s="185" t="s">
        <v>25</v>
      </c>
      <c r="F46" s="185" t="s">
        <v>30</v>
      </c>
      <c r="G46" s="185" t="s">
        <v>20</v>
      </c>
      <c r="H46" s="185">
        <v>69</v>
      </c>
      <c r="I46" s="184">
        <v>0</v>
      </c>
      <c r="L46" s="184">
        <f t="shared" si="1"/>
        <v>0</v>
      </c>
      <c r="M46" s="184">
        <v>0</v>
      </c>
      <c r="O46" s="188" t="s">
        <v>21</v>
      </c>
      <c r="P46" s="188" t="s">
        <v>22</v>
      </c>
      <c r="Q46" s="185" t="s">
        <v>76</v>
      </c>
    </row>
    <row r="47" spans="1:17" x14ac:dyDescent="0.25">
      <c r="A47" s="172" t="s">
        <v>70</v>
      </c>
      <c r="B47" s="185" t="s">
        <v>16</v>
      </c>
      <c r="C47" s="185" t="s">
        <v>77</v>
      </c>
      <c r="D47" s="185">
        <v>169</v>
      </c>
      <c r="E47" s="185" t="s">
        <v>18</v>
      </c>
      <c r="F47" s="185" t="s">
        <v>30</v>
      </c>
      <c r="G47" s="185" t="s">
        <v>20</v>
      </c>
      <c r="H47" s="185">
        <v>26.5</v>
      </c>
      <c r="I47" s="184">
        <v>-518</v>
      </c>
      <c r="L47" s="184">
        <f t="shared" si="1"/>
        <v>-518</v>
      </c>
      <c r="M47" s="184">
        <v>13840.976407100261</v>
      </c>
      <c r="O47" s="188" t="s">
        <v>21</v>
      </c>
      <c r="P47" s="188" t="s">
        <v>22</v>
      </c>
      <c r="Q47" s="185" t="s">
        <v>73</v>
      </c>
    </row>
    <row r="48" spans="1:17" x14ac:dyDescent="0.25">
      <c r="A48" s="172" t="s">
        <v>70</v>
      </c>
      <c r="B48" s="185" t="s">
        <v>16</v>
      </c>
      <c r="C48" s="185" t="s">
        <v>77</v>
      </c>
      <c r="D48" s="185">
        <v>169</v>
      </c>
      <c r="E48" s="185" t="s">
        <v>25</v>
      </c>
      <c r="F48" s="185" t="s">
        <v>30</v>
      </c>
      <c r="G48" s="185" t="s">
        <v>20</v>
      </c>
      <c r="H48" s="185">
        <v>156.19999999999999</v>
      </c>
      <c r="I48" s="184">
        <v>69261</v>
      </c>
      <c r="L48" s="184">
        <f t="shared" si="1"/>
        <v>69261</v>
      </c>
      <c r="M48" s="184">
        <v>60021.947</v>
      </c>
      <c r="O48" s="188" t="s">
        <v>21</v>
      </c>
      <c r="P48" s="188" t="s">
        <v>22</v>
      </c>
      <c r="Q48" s="185" t="s">
        <v>23</v>
      </c>
    </row>
    <row r="49" spans="1:17" x14ac:dyDescent="0.25">
      <c r="A49" s="172" t="s">
        <v>70</v>
      </c>
      <c r="B49" s="185" t="s">
        <v>16</v>
      </c>
      <c r="C49" s="185" t="s">
        <v>78</v>
      </c>
      <c r="D49" s="185">
        <v>170</v>
      </c>
      <c r="E49" s="185" t="s">
        <v>18</v>
      </c>
      <c r="F49" s="185" t="s">
        <v>30</v>
      </c>
      <c r="G49" s="185" t="s">
        <v>20</v>
      </c>
      <c r="H49" s="185">
        <v>40</v>
      </c>
      <c r="I49" s="184">
        <v>-267</v>
      </c>
      <c r="L49" s="184">
        <f t="shared" si="1"/>
        <v>-267</v>
      </c>
      <c r="M49" s="184">
        <v>7.5</v>
      </c>
      <c r="O49" s="188" t="s">
        <v>21</v>
      </c>
      <c r="P49" s="188" t="s">
        <v>22</v>
      </c>
      <c r="Q49" s="185" t="s">
        <v>76</v>
      </c>
    </row>
    <row r="50" spans="1:17" x14ac:dyDescent="0.25">
      <c r="A50" s="172" t="s">
        <v>70</v>
      </c>
      <c r="B50" s="185" t="s">
        <v>16</v>
      </c>
      <c r="C50" s="185" t="s">
        <v>78</v>
      </c>
      <c r="D50" s="185">
        <v>170</v>
      </c>
      <c r="E50" s="185" t="s">
        <v>25</v>
      </c>
      <c r="F50" s="185" t="s">
        <v>30</v>
      </c>
      <c r="G50" s="185" t="s">
        <v>20</v>
      </c>
      <c r="H50" s="185">
        <v>40</v>
      </c>
      <c r="I50" s="184">
        <v>0</v>
      </c>
      <c r="L50" s="184">
        <f t="shared" si="1"/>
        <v>0</v>
      </c>
      <c r="M50" s="184">
        <v>160.5</v>
      </c>
      <c r="O50" s="188" t="s">
        <v>21</v>
      </c>
      <c r="P50" s="188" t="s">
        <v>22</v>
      </c>
      <c r="Q50" s="185" t="s">
        <v>76</v>
      </c>
    </row>
    <row r="51" spans="1:17" x14ac:dyDescent="0.25">
      <c r="A51" s="172" t="s">
        <v>70</v>
      </c>
      <c r="B51" s="185" t="s">
        <v>16</v>
      </c>
      <c r="C51" s="185" t="s">
        <v>78</v>
      </c>
      <c r="D51" s="185">
        <v>170</v>
      </c>
      <c r="E51" s="185" t="s">
        <v>74</v>
      </c>
      <c r="F51" s="185" t="s">
        <v>30</v>
      </c>
      <c r="G51" s="185" t="s">
        <v>20</v>
      </c>
      <c r="H51" s="185">
        <v>119.5</v>
      </c>
      <c r="I51" s="184">
        <v>-1456</v>
      </c>
      <c r="L51" s="184">
        <f t="shared" si="1"/>
        <v>-1456</v>
      </c>
      <c r="M51" s="184">
        <v>84.971999999999994</v>
      </c>
      <c r="O51" s="188" t="s">
        <v>21</v>
      </c>
      <c r="P51" s="188" t="s">
        <v>22</v>
      </c>
      <c r="Q51" s="185" t="s">
        <v>76</v>
      </c>
    </row>
    <row r="52" spans="1:17" x14ac:dyDescent="0.25">
      <c r="A52" s="172" t="s">
        <v>70</v>
      </c>
      <c r="B52" s="185" t="s">
        <v>16</v>
      </c>
      <c r="C52" s="185" t="s">
        <v>78</v>
      </c>
      <c r="D52" s="185">
        <v>170</v>
      </c>
      <c r="E52" s="185" t="s">
        <v>79</v>
      </c>
      <c r="F52" s="185" t="s">
        <v>30</v>
      </c>
      <c r="G52" s="185" t="s">
        <v>20</v>
      </c>
      <c r="H52" s="185">
        <v>552.5</v>
      </c>
      <c r="I52" s="184">
        <v>136115</v>
      </c>
      <c r="L52" s="184">
        <f t="shared" si="1"/>
        <v>136115</v>
      </c>
      <c r="M52" s="184">
        <v>106963.007</v>
      </c>
      <c r="O52" s="188" t="s">
        <v>21</v>
      </c>
      <c r="P52" s="188" t="s">
        <v>22</v>
      </c>
      <c r="Q52" s="185" t="s">
        <v>23</v>
      </c>
    </row>
    <row r="53" spans="1:17" x14ac:dyDescent="0.25">
      <c r="A53" s="172" t="s">
        <v>70</v>
      </c>
      <c r="B53" s="185" t="s">
        <v>16</v>
      </c>
      <c r="C53" s="185" t="s">
        <v>80</v>
      </c>
      <c r="D53" s="185">
        <v>203</v>
      </c>
      <c r="E53" s="185" t="s">
        <v>18</v>
      </c>
      <c r="F53" s="185" t="s">
        <v>30</v>
      </c>
      <c r="G53" s="185" t="s">
        <v>20</v>
      </c>
      <c r="H53" s="185">
        <v>136</v>
      </c>
      <c r="I53" s="184">
        <v>212630</v>
      </c>
      <c r="L53" s="184">
        <f t="shared" si="1"/>
        <v>212630</v>
      </c>
      <c r="M53" s="184">
        <v>146455.704</v>
      </c>
      <c r="O53" s="188" t="s">
        <v>21</v>
      </c>
      <c r="P53" s="188" t="s">
        <v>22</v>
      </c>
      <c r="Q53" s="185" t="s">
        <v>23</v>
      </c>
    </row>
    <row r="54" spans="1:17" x14ac:dyDescent="0.25">
      <c r="A54" s="172" t="s">
        <v>70</v>
      </c>
      <c r="B54" s="185" t="s">
        <v>16</v>
      </c>
      <c r="C54" s="185" t="s">
        <v>81</v>
      </c>
      <c r="D54" s="185">
        <v>173</v>
      </c>
      <c r="E54" s="185" t="s">
        <v>18</v>
      </c>
      <c r="F54" s="185" t="s">
        <v>30</v>
      </c>
      <c r="G54" s="185" t="s">
        <v>20</v>
      </c>
      <c r="H54" s="185">
        <v>359</v>
      </c>
      <c r="I54" s="184">
        <v>-168</v>
      </c>
      <c r="L54" s="184">
        <f t="shared" si="1"/>
        <v>-168</v>
      </c>
      <c r="M54" s="184">
        <v>6.2527706622333357</v>
      </c>
      <c r="O54" s="188" t="s">
        <v>21</v>
      </c>
      <c r="P54" s="188" t="s">
        <v>22</v>
      </c>
      <c r="Q54" s="185" t="s">
        <v>76</v>
      </c>
    </row>
    <row r="55" spans="1:17" x14ac:dyDescent="0.25">
      <c r="A55" s="172" t="s">
        <v>70</v>
      </c>
      <c r="B55" s="185" t="s">
        <v>16</v>
      </c>
      <c r="C55" s="185" t="s">
        <v>81</v>
      </c>
      <c r="D55" s="185">
        <v>173</v>
      </c>
      <c r="E55" s="185" t="s">
        <v>25</v>
      </c>
      <c r="F55" s="185" t="s">
        <v>30</v>
      </c>
      <c r="G55" s="185" t="s">
        <v>20</v>
      </c>
      <c r="H55" s="185">
        <v>544.6</v>
      </c>
      <c r="I55" s="184">
        <v>1</v>
      </c>
      <c r="L55" s="184">
        <f t="shared" si="1"/>
        <v>1</v>
      </c>
      <c r="M55" s="184">
        <v>2.4456730099998047E-2</v>
      </c>
      <c r="O55" s="188" t="s">
        <v>21</v>
      </c>
      <c r="P55" s="188" t="s">
        <v>22</v>
      </c>
      <c r="Q55" s="185" t="s">
        <v>76</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Notes</vt:lpstr>
      <vt:lpstr>NGCC treatment (Slide 4)</vt:lpstr>
      <vt:lpstr>UTO Treatment (Slide 5)</vt:lpstr>
      <vt:lpstr>Base Year Summary (slides 9)</vt:lpstr>
      <vt:lpstr>Base Year Goal (Slide 10)</vt:lpstr>
      <vt:lpstr>RE Growth Rate (Slide 19) </vt:lpstr>
      <vt:lpstr>RE Building Block 3 (Slide 19)</vt:lpstr>
      <vt:lpstr>eGrid Methodology 2009 ADEQ</vt:lpstr>
      <vt:lpstr>eGRID Methodology 2010 ADEQ</vt:lpstr>
      <vt:lpstr>eGRID methodology 2011 ADEQ</vt:lpstr>
      <vt:lpstr>eGRID methodology 2012 ADEQ</vt:lpstr>
      <vt:lpstr>Prime-mover Specific 2012 ADEQ</vt:lpstr>
      <vt:lpstr>eGRID Methodology 2013 ADEQ</vt:lpstr>
      <vt:lpstr>Notes!Print_Area</vt:lpstr>
    </vt:vector>
  </TitlesOfParts>
  <Company>Arkansas Department of Environmental Quality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Tricia</dc:creator>
  <cp:lastModifiedBy>Jackson, Tricia</cp:lastModifiedBy>
  <dcterms:created xsi:type="dcterms:W3CDTF">2014-10-02T15:25:36Z</dcterms:created>
  <dcterms:modified xsi:type="dcterms:W3CDTF">2014-10-14T13:23:10Z</dcterms:modified>
</cp:coreProperties>
</file>