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685" windowHeight="5145" firstSheet="1" activeTab="5"/>
  </bookViews>
  <sheets>
    <sheet name="Read Me" sheetId="5" r:id="rId1"/>
    <sheet name="Source" sheetId="6" r:id="rId2"/>
    <sheet name="BOP " sheetId="12" r:id="rId3"/>
    <sheet name="Entergy Costs" sheetId="1" r:id="rId4"/>
    <sheet name="Cost Effectiveness" sheetId="2" r:id="rId5"/>
    <sheet name="$ per Deciview" sheetId="13" r:id="rId6"/>
    <sheet name=" IPM WB 1 - 2 lb" sheetId="10" r:id="rId7"/>
    <sheet name=" IPM WB 1 - 0.68 lb" sheetId="11" r:id="rId8"/>
    <sheet name="Annual Emissions" sheetId="7" r:id="rId9"/>
    <sheet name="Monthly Emissions" sheetId="8" r:id="rId10"/>
  </sheets>
  <definedNames>
    <definedName name="_xlnm.Print_Area" localSheetId="7">' IPM WB 1 - 0.68 lb'!$I$4:$K$22</definedName>
    <definedName name="_xlnm.Print_Area" localSheetId="6">' IPM WB 1 - 2 lb'!$I$4:$K$22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3" l="1"/>
  <c r="B2" i="13"/>
  <c r="B4" i="13" s="1"/>
  <c r="B8" i="13" s="1"/>
  <c r="E8" i="13" l="1"/>
  <c r="D8" i="13"/>
  <c r="C8" i="13"/>
  <c r="D62" i="2"/>
  <c r="B61" i="2"/>
  <c r="B60" i="2"/>
  <c r="B5" i="2"/>
  <c r="B4" i="2"/>
  <c r="C27" i="1"/>
  <c r="D27" i="1" s="1"/>
  <c r="C5" i="1"/>
  <c r="I64" i="12"/>
  <c r="I65" i="12"/>
  <c r="I66" i="12"/>
  <c r="J66" i="12" s="1"/>
  <c r="I67" i="12"/>
  <c r="I68" i="12"/>
  <c r="I69" i="12"/>
  <c r="I70" i="12"/>
  <c r="I71" i="12"/>
  <c r="I72" i="12"/>
  <c r="I73" i="12"/>
  <c r="I74" i="12"/>
  <c r="I75" i="12"/>
  <c r="I76" i="12"/>
  <c r="I77" i="12"/>
  <c r="I78" i="12"/>
  <c r="J78" i="12" s="1"/>
  <c r="I79" i="12"/>
  <c r="I80" i="12"/>
  <c r="I63" i="12"/>
  <c r="H64" i="12"/>
  <c r="H65" i="12"/>
  <c r="J65" i="12" s="1"/>
  <c r="H66" i="12"/>
  <c r="H67" i="12"/>
  <c r="H68" i="12"/>
  <c r="H69" i="12"/>
  <c r="H70" i="12"/>
  <c r="H71" i="12"/>
  <c r="H72" i="12"/>
  <c r="J72" i="12" s="1"/>
  <c r="H73" i="12"/>
  <c r="H74" i="12"/>
  <c r="H75" i="12"/>
  <c r="H76" i="12"/>
  <c r="J76" i="12" s="1"/>
  <c r="H77" i="12"/>
  <c r="H78" i="12"/>
  <c r="H79" i="12"/>
  <c r="H80" i="12"/>
  <c r="H63" i="12"/>
  <c r="G64" i="12"/>
  <c r="G65" i="12"/>
  <c r="G66" i="12"/>
  <c r="G67" i="12"/>
  <c r="G68" i="12"/>
  <c r="G69" i="12"/>
  <c r="G70" i="12"/>
  <c r="G71" i="12"/>
  <c r="G72" i="12"/>
  <c r="G73" i="12"/>
  <c r="G74" i="12"/>
  <c r="G75" i="12"/>
  <c r="G76" i="12"/>
  <c r="G77" i="12"/>
  <c r="G78" i="12"/>
  <c r="G79" i="12"/>
  <c r="G80" i="12"/>
  <c r="J80" i="12" s="1"/>
  <c r="G63" i="12"/>
  <c r="I21" i="12"/>
  <c r="I22" i="12"/>
  <c r="I23" i="12"/>
  <c r="I24" i="12"/>
  <c r="I25" i="12"/>
  <c r="I26" i="12"/>
  <c r="I27" i="12"/>
  <c r="I28" i="12"/>
  <c r="I29" i="12"/>
  <c r="I30" i="12"/>
  <c r="I31" i="12"/>
  <c r="I32" i="12"/>
  <c r="I33" i="12"/>
  <c r="I34" i="12"/>
  <c r="I35" i="12"/>
  <c r="I36" i="12"/>
  <c r="I37" i="12"/>
  <c r="I20" i="12"/>
  <c r="H21" i="12"/>
  <c r="H22" i="12"/>
  <c r="H23" i="12"/>
  <c r="H24" i="12"/>
  <c r="H25" i="12"/>
  <c r="H26" i="12"/>
  <c r="H27" i="12"/>
  <c r="H28" i="12"/>
  <c r="H29" i="12"/>
  <c r="H30" i="12"/>
  <c r="H31" i="12"/>
  <c r="H32" i="12"/>
  <c r="H33" i="12"/>
  <c r="H34" i="12"/>
  <c r="H35" i="12"/>
  <c r="H36" i="12"/>
  <c r="H37" i="12"/>
  <c r="H20" i="12"/>
  <c r="J64" i="12"/>
  <c r="F80" i="12"/>
  <c r="F79" i="12"/>
  <c r="F78" i="12"/>
  <c r="F77" i="12"/>
  <c r="F76" i="12"/>
  <c r="F75" i="12"/>
  <c r="F74" i="12"/>
  <c r="J73" i="12"/>
  <c r="F73" i="12"/>
  <c r="F72" i="12"/>
  <c r="F71" i="12"/>
  <c r="F70" i="12"/>
  <c r="F69" i="12"/>
  <c r="F68" i="12"/>
  <c r="F67" i="12"/>
  <c r="F66" i="12"/>
  <c r="F65" i="12"/>
  <c r="C81" i="12" s="1"/>
  <c r="F64" i="12"/>
  <c r="F63" i="12"/>
  <c r="F56" i="12"/>
  <c r="E56" i="12"/>
  <c r="E58" i="12" s="1"/>
  <c r="D56" i="12"/>
  <c r="D58" i="12" s="1"/>
  <c r="C56" i="12"/>
  <c r="C58" i="12" s="1"/>
  <c r="D30" i="1"/>
  <c r="D31" i="1"/>
  <c r="D29" i="1"/>
  <c r="D28" i="1"/>
  <c r="C60" i="2"/>
  <c r="C59" i="2"/>
  <c r="C61" i="2" s="1"/>
  <c r="D103" i="2"/>
  <c r="D105" i="2" s="1"/>
  <c r="D101" i="2"/>
  <c r="D91" i="2"/>
  <c r="D93" i="2" s="1"/>
  <c r="D89" i="2"/>
  <c r="D79" i="2"/>
  <c r="D81" i="2" s="1"/>
  <c r="D77" i="2"/>
  <c r="D67" i="2"/>
  <c r="D69" i="2" s="1"/>
  <c r="D65" i="2"/>
  <c r="D35" i="1"/>
  <c r="D33" i="1"/>
  <c r="D26" i="1"/>
  <c r="D25" i="1"/>
  <c r="D61" i="2" l="1"/>
  <c r="J79" i="12"/>
  <c r="J71" i="12"/>
  <c r="J70" i="12"/>
  <c r="J63" i="12"/>
  <c r="J67" i="12"/>
  <c r="J75" i="12"/>
  <c r="J69" i="12"/>
  <c r="J77" i="12"/>
  <c r="J74" i="12"/>
  <c r="J68" i="12"/>
  <c r="D32" i="1"/>
  <c r="G81" i="12" l="1"/>
  <c r="C82" i="12" s="1"/>
  <c r="D36" i="1"/>
  <c r="D37" i="1"/>
  <c r="D38" i="1"/>
  <c r="D39" i="1" l="1"/>
  <c r="D60" i="2" s="1"/>
  <c r="E13" i="12" l="1"/>
  <c r="C13" i="12"/>
  <c r="D13" i="12"/>
  <c r="F13" i="12"/>
  <c r="D15" i="12" l="1"/>
  <c r="E15" i="12"/>
  <c r="C15" i="12"/>
  <c r="G37" i="12"/>
  <c r="J37" i="12" s="1"/>
  <c r="F37" i="12"/>
  <c r="G36" i="12"/>
  <c r="F36" i="12"/>
  <c r="G35" i="12"/>
  <c r="J35" i="12" s="1"/>
  <c r="F35" i="12"/>
  <c r="G34" i="12"/>
  <c r="F34" i="12"/>
  <c r="G33" i="12"/>
  <c r="J33" i="12" s="1"/>
  <c r="F33" i="12"/>
  <c r="G32" i="12"/>
  <c r="F32" i="12"/>
  <c r="G31" i="12"/>
  <c r="J31" i="12" s="1"/>
  <c r="F31" i="12"/>
  <c r="J30" i="12"/>
  <c r="G30" i="12"/>
  <c r="F30" i="12"/>
  <c r="G29" i="12"/>
  <c r="F29" i="12"/>
  <c r="G28" i="12"/>
  <c r="J28" i="12" s="1"/>
  <c r="F28" i="12"/>
  <c r="G27" i="12"/>
  <c r="F27" i="12"/>
  <c r="G26" i="12"/>
  <c r="J26" i="12" s="1"/>
  <c r="F26" i="12"/>
  <c r="G25" i="12"/>
  <c r="J25" i="12" s="1"/>
  <c r="F25" i="12"/>
  <c r="G24" i="12"/>
  <c r="F24" i="12"/>
  <c r="G23" i="12"/>
  <c r="J23" i="12" s="1"/>
  <c r="F23" i="12"/>
  <c r="G22" i="12"/>
  <c r="J22" i="12" s="1"/>
  <c r="F22" i="12"/>
  <c r="G21" i="12"/>
  <c r="J21" i="12" s="1"/>
  <c r="F21" i="12"/>
  <c r="G20" i="12"/>
  <c r="J20" i="12" s="1"/>
  <c r="F20" i="12"/>
  <c r="C38" i="12" l="1"/>
  <c r="J27" i="12"/>
  <c r="J24" i="12"/>
  <c r="J36" i="12"/>
  <c r="J32" i="12"/>
  <c r="J34" i="12"/>
  <c r="J29" i="12"/>
  <c r="G38" i="12" l="1"/>
  <c r="C39" i="12" s="1"/>
  <c r="D5" i="1" s="1"/>
  <c r="I109" i="8"/>
  <c r="D47" i="2"/>
  <c r="D49" i="2" s="1"/>
  <c r="D45" i="2"/>
  <c r="D35" i="2"/>
  <c r="D37" i="2" s="1"/>
  <c r="D33" i="2"/>
  <c r="D21" i="2"/>
  <c r="D23" i="2"/>
  <c r="D25" i="2" s="1"/>
  <c r="H73" i="8" l="1"/>
  <c r="C86" i="10"/>
  <c r="D11" i="2"/>
  <c r="D13" i="2" s="1"/>
  <c r="E13" i="11"/>
  <c r="C83" i="11" s="1"/>
  <c r="C78" i="11"/>
  <c r="C60" i="11"/>
  <c r="E12" i="11"/>
  <c r="E11" i="11"/>
  <c r="C35" i="11" s="1"/>
  <c r="C36" i="11" s="1"/>
  <c r="E10" i="11"/>
  <c r="C33" i="11" s="1"/>
  <c r="E14" i="11" l="1"/>
  <c r="C68" i="11" s="1"/>
  <c r="E15" i="11"/>
  <c r="C69" i="11" s="1"/>
  <c r="E16" i="11"/>
  <c r="C70" i="11" s="1"/>
  <c r="E17" i="11"/>
  <c r="C71" i="11" s="1"/>
  <c r="C34" i="11"/>
  <c r="C37" i="11" s="1"/>
  <c r="D9" i="2"/>
  <c r="B59" i="2" s="1"/>
  <c r="D59" i="2" s="1"/>
  <c r="D70" i="2" l="1"/>
  <c r="D74" i="2"/>
  <c r="C43" i="11"/>
  <c r="C61" i="11"/>
  <c r="C42" i="11"/>
  <c r="C41" i="11"/>
  <c r="C38" i="11"/>
  <c r="C73" i="11"/>
  <c r="C80" i="11" s="1"/>
  <c r="E10" i="10"/>
  <c r="E11" i="10"/>
  <c r="E14" i="10" s="1"/>
  <c r="C68" i="10" s="1"/>
  <c r="E12" i="10"/>
  <c r="E13" i="10"/>
  <c r="C60" i="10"/>
  <c r="C78" i="10"/>
  <c r="C83" i="10"/>
  <c r="C84" i="10" s="1"/>
  <c r="G2" i="8"/>
  <c r="I13" i="8" s="1"/>
  <c r="G3" i="8"/>
  <c r="G4" i="8"/>
  <c r="G5" i="8"/>
  <c r="G6" i="8"/>
  <c r="G7" i="8"/>
  <c r="G8" i="8"/>
  <c r="G9" i="8"/>
  <c r="G10" i="8"/>
  <c r="G11" i="8"/>
  <c r="G12" i="8"/>
  <c r="G13" i="8"/>
  <c r="H13" i="8"/>
  <c r="G14" i="8"/>
  <c r="I25" i="8" s="1"/>
  <c r="G15" i="8"/>
  <c r="G16" i="8"/>
  <c r="H25" i="8" s="1"/>
  <c r="G17" i="8"/>
  <c r="G18" i="8"/>
  <c r="G19" i="8"/>
  <c r="G20" i="8"/>
  <c r="G21" i="8"/>
  <c r="G22" i="8"/>
  <c r="G23" i="8"/>
  <c r="G24" i="8"/>
  <c r="G25" i="8"/>
  <c r="G26" i="8"/>
  <c r="I37" i="8" s="1"/>
  <c r="G27" i="8"/>
  <c r="G28" i="8"/>
  <c r="G29" i="8"/>
  <c r="G30" i="8"/>
  <c r="G31" i="8"/>
  <c r="G32" i="8"/>
  <c r="G33" i="8"/>
  <c r="G34" i="8"/>
  <c r="G35" i="8"/>
  <c r="G36" i="8"/>
  <c r="G37" i="8"/>
  <c r="H37" i="8"/>
  <c r="G38" i="8"/>
  <c r="I49" i="8" s="1"/>
  <c r="G39" i="8"/>
  <c r="G40" i="8"/>
  <c r="H49" i="8" s="1"/>
  <c r="G41" i="8"/>
  <c r="G42" i="8"/>
  <c r="G43" i="8"/>
  <c r="G44" i="8"/>
  <c r="G45" i="8"/>
  <c r="G46" i="8"/>
  <c r="G47" i="8"/>
  <c r="G48" i="8"/>
  <c r="G49" i="8"/>
  <c r="G50" i="8"/>
  <c r="I61" i="8" s="1"/>
  <c r="G51" i="8"/>
  <c r="G52" i="8"/>
  <c r="G53" i="8"/>
  <c r="G54" i="8"/>
  <c r="G55" i="8"/>
  <c r="G56" i="8"/>
  <c r="G57" i="8"/>
  <c r="G58" i="8"/>
  <c r="G59" i="8"/>
  <c r="G60" i="8"/>
  <c r="G61" i="8"/>
  <c r="H61" i="8"/>
  <c r="G62" i="8"/>
  <c r="I73" i="8" s="1"/>
  <c r="G63" i="8"/>
  <c r="G64" i="8"/>
  <c r="G65" i="8"/>
  <c r="G66" i="8"/>
  <c r="G67" i="8"/>
  <c r="G68" i="8"/>
  <c r="G69" i="8"/>
  <c r="G70" i="8"/>
  <c r="G71" i="8"/>
  <c r="G72" i="8"/>
  <c r="G73" i="8"/>
  <c r="G74" i="8"/>
  <c r="I85" i="8" s="1"/>
  <c r="G75" i="8"/>
  <c r="G76" i="8"/>
  <c r="G77" i="8"/>
  <c r="G78" i="8"/>
  <c r="G79" i="8"/>
  <c r="G80" i="8"/>
  <c r="G81" i="8"/>
  <c r="G82" i="8"/>
  <c r="G83" i="8"/>
  <c r="G84" i="8"/>
  <c r="G85" i="8"/>
  <c r="H85" i="8"/>
  <c r="G86" i="8"/>
  <c r="I97" i="8" s="1"/>
  <c r="G87" i="8"/>
  <c r="G88" i="8"/>
  <c r="H97" i="8" s="1"/>
  <c r="G89" i="8"/>
  <c r="G90" i="8"/>
  <c r="G91" i="8"/>
  <c r="G92" i="8"/>
  <c r="G93" i="8"/>
  <c r="G94" i="8"/>
  <c r="G95" i="8"/>
  <c r="G96" i="8"/>
  <c r="G97" i="8"/>
  <c r="G98" i="8"/>
  <c r="G99" i="8"/>
  <c r="G100" i="8"/>
  <c r="G101" i="8"/>
  <c r="G102" i="8"/>
  <c r="G103" i="8"/>
  <c r="G104" i="8"/>
  <c r="G105" i="8"/>
  <c r="G106" i="8"/>
  <c r="G107" i="8"/>
  <c r="G108" i="8"/>
  <c r="G109" i="8"/>
  <c r="H109" i="8"/>
  <c r="G110" i="8"/>
  <c r="I121" i="8" s="1"/>
  <c r="G111" i="8"/>
  <c r="G112" i="8"/>
  <c r="H121" i="8" s="1"/>
  <c r="G113" i="8"/>
  <c r="G114" i="8"/>
  <c r="G115" i="8"/>
  <c r="G116" i="8"/>
  <c r="G117" i="8"/>
  <c r="G118" i="8"/>
  <c r="G119" i="8"/>
  <c r="G120" i="8"/>
  <c r="G121" i="8"/>
  <c r="G122" i="8"/>
  <c r="I133" i="8" s="1"/>
  <c r="G123" i="8"/>
  <c r="G124" i="8"/>
  <c r="G125" i="8"/>
  <c r="G126" i="8"/>
  <c r="G127" i="8"/>
  <c r="G128" i="8"/>
  <c r="G129" i="8"/>
  <c r="G130" i="8"/>
  <c r="G131" i="8"/>
  <c r="G132" i="8"/>
  <c r="G133" i="8"/>
  <c r="H133" i="8"/>
  <c r="G134" i="8"/>
  <c r="I145" i="8" s="1"/>
  <c r="G135" i="8"/>
  <c r="G136" i="8"/>
  <c r="H145" i="8" s="1"/>
  <c r="G137" i="8"/>
  <c r="G138" i="8"/>
  <c r="G139" i="8"/>
  <c r="G140" i="8"/>
  <c r="G141" i="8"/>
  <c r="G142" i="8"/>
  <c r="G143" i="8"/>
  <c r="G144" i="8"/>
  <c r="G145" i="8"/>
  <c r="G146" i="8"/>
  <c r="I157" i="8" s="1"/>
  <c r="G147" i="8"/>
  <c r="G148" i="8"/>
  <c r="G149" i="8"/>
  <c r="G150" i="8"/>
  <c r="G151" i="8"/>
  <c r="G152" i="8"/>
  <c r="G153" i="8"/>
  <c r="G154" i="8"/>
  <c r="G155" i="8"/>
  <c r="G156" i="8"/>
  <c r="G157" i="8"/>
  <c r="H157" i="8"/>
  <c r="G158" i="8"/>
  <c r="I169" i="8" s="1"/>
  <c r="G159" i="8"/>
  <c r="G160" i="8"/>
  <c r="H169" i="8" s="1"/>
  <c r="G161" i="8"/>
  <c r="G162" i="8"/>
  <c r="G163" i="8"/>
  <c r="G164" i="8"/>
  <c r="G165" i="8"/>
  <c r="G166" i="8"/>
  <c r="G167" i="8"/>
  <c r="G168" i="8"/>
  <c r="G169" i="8"/>
  <c r="G170" i="8"/>
  <c r="I181" i="8" s="1"/>
  <c r="G171" i="8"/>
  <c r="G172" i="8"/>
  <c r="G173" i="8"/>
  <c r="G174" i="8"/>
  <c r="G175" i="8"/>
  <c r="G176" i="8"/>
  <c r="G177" i="8"/>
  <c r="G178" i="8"/>
  <c r="G179" i="8"/>
  <c r="G180" i="8"/>
  <c r="G181" i="8"/>
  <c r="H181" i="8"/>
  <c r="G182" i="8"/>
  <c r="I193" i="8" s="1"/>
  <c r="G183" i="8"/>
  <c r="G184" i="8"/>
  <c r="H193" i="8" s="1"/>
  <c r="G185" i="8"/>
  <c r="G186" i="8"/>
  <c r="G187" i="8"/>
  <c r="G188" i="8"/>
  <c r="G189" i="8"/>
  <c r="G190" i="8"/>
  <c r="G191" i="8"/>
  <c r="G192" i="8"/>
  <c r="G193" i="8"/>
  <c r="G194" i="8"/>
  <c r="I205" i="8" s="1"/>
  <c r="G195" i="8"/>
  <c r="G196" i="8"/>
  <c r="G197" i="8"/>
  <c r="G198" i="8"/>
  <c r="G199" i="8"/>
  <c r="G200" i="8"/>
  <c r="G201" i="8"/>
  <c r="G202" i="8"/>
  <c r="G203" i="8"/>
  <c r="G204" i="8"/>
  <c r="G205" i="8"/>
  <c r="H205" i="8"/>
  <c r="G206" i="8"/>
  <c r="I217" i="8" s="1"/>
  <c r="G207" i="8"/>
  <c r="G208" i="8"/>
  <c r="H217" i="8" s="1"/>
  <c r="G209" i="8"/>
  <c r="G210" i="8"/>
  <c r="G211" i="8"/>
  <c r="G212" i="8"/>
  <c r="G213" i="8"/>
  <c r="G214" i="8"/>
  <c r="G215" i="8"/>
  <c r="G216" i="8"/>
  <c r="G217" i="8"/>
  <c r="G218" i="8"/>
  <c r="I229" i="8" s="1"/>
  <c r="G219" i="8"/>
  <c r="G220" i="8"/>
  <c r="G221" i="8"/>
  <c r="G222" i="8"/>
  <c r="G223" i="8"/>
  <c r="G224" i="8"/>
  <c r="G225" i="8"/>
  <c r="G226" i="8"/>
  <c r="G227" i="8"/>
  <c r="G228" i="8"/>
  <c r="G229" i="8"/>
  <c r="H229" i="8"/>
  <c r="G230" i="8"/>
  <c r="I241" i="8" s="1"/>
  <c r="G231" i="8"/>
  <c r="G232" i="8"/>
  <c r="H241" i="8" s="1"/>
  <c r="G233" i="8"/>
  <c r="G234" i="8"/>
  <c r="G235" i="8"/>
  <c r="G236" i="8"/>
  <c r="G237" i="8"/>
  <c r="G238" i="8"/>
  <c r="G239" i="8"/>
  <c r="G240" i="8"/>
  <c r="G241" i="8"/>
  <c r="R2" i="7"/>
  <c r="U6" i="7" s="1"/>
  <c r="R3" i="7"/>
  <c r="R4" i="7"/>
  <c r="R5" i="7"/>
  <c r="F6" i="7"/>
  <c r="G6" i="7"/>
  <c r="H6" i="7"/>
  <c r="O6" i="7"/>
  <c r="P6" i="7"/>
  <c r="Q6" i="7"/>
  <c r="R6" i="7"/>
  <c r="T6" i="7"/>
  <c r="R7" i="7"/>
  <c r="S11" i="7" s="1"/>
  <c r="R8" i="7"/>
  <c r="R9" i="7"/>
  <c r="T11" i="7" s="1"/>
  <c r="R10" i="7"/>
  <c r="F11" i="7"/>
  <c r="G11" i="7"/>
  <c r="H11" i="7"/>
  <c r="O11" i="7"/>
  <c r="P11" i="7"/>
  <c r="Q11" i="7"/>
  <c r="R11" i="7"/>
  <c r="R12" i="7"/>
  <c r="U16" i="7" s="1"/>
  <c r="R13" i="7"/>
  <c r="R14" i="7"/>
  <c r="R15" i="7"/>
  <c r="F16" i="7"/>
  <c r="G16" i="7"/>
  <c r="H16" i="7"/>
  <c r="O16" i="7"/>
  <c r="P16" i="7"/>
  <c r="Q16" i="7"/>
  <c r="R16" i="7"/>
  <c r="T16" i="7"/>
  <c r="R17" i="7"/>
  <c r="S21" i="7" s="1"/>
  <c r="R18" i="7"/>
  <c r="R19" i="7"/>
  <c r="T21" i="7" s="1"/>
  <c r="R20" i="7"/>
  <c r="F21" i="7"/>
  <c r="G21" i="7"/>
  <c r="H21" i="7"/>
  <c r="O21" i="7"/>
  <c r="P21" i="7"/>
  <c r="Q21" i="7"/>
  <c r="R21" i="7"/>
  <c r="D82" i="2" l="1"/>
  <c r="D86" i="2"/>
  <c r="C34" i="10"/>
  <c r="C33" i="10"/>
  <c r="E15" i="10"/>
  <c r="C69" i="10" s="1"/>
  <c r="E16" i="10"/>
  <c r="C70" i="10" s="1"/>
  <c r="C45" i="11"/>
  <c r="C77" i="11" s="1"/>
  <c r="C79" i="11" s="1"/>
  <c r="C3" i="2" s="1"/>
  <c r="C5" i="2" s="1"/>
  <c r="D5" i="2" s="1"/>
  <c r="C62" i="11"/>
  <c r="C64" i="11" s="1"/>
  <c r="C81" i="11" s="1"/>
  <c r="C4" i="2" s="1"/>
  <c r="U21" i="7"/>
  <c r="S16" i="7"/>
  <c r="U11" i="7"/>
  <c r="S6" i="7"/>
  <c r="E17" i="10"/>
  <c r="C71" i="10" s="1"/>
  <c r="C35" i="10"/>
  <c r="C36" i="10" s="1"/>
  <c r="D13" i="1"/>
  <c r="D98" i="2" l="1"/>
  <c r="D106" i="2" s="1"/>
  <c r="D94" i="2"/>
  <c r="C46" i="11"/>
  <c r="C73" i="10"/>
  <c r="C80" i="10" s="1"/>
  <c r="C48" i="11"/>
  <c r="C50" i="11" s="1"/>
  <c r="C51" i="11" s="1"/>
  <c r="C37" i="10"/>
  <c r="C38" i="10" s="1"/>
  <c r="C82" i="11"/>
  <c r="C84" i="11" s="1"/>
  <c r="D11" i="1"/>
  <c r="C53" i="11" l="1"/>
  <c r="C55" i="11" s="1"/>
  <c r="C56" i="11" s="1"/>
  <c r="C43" i="10"/>
  <c r="C42" i="10"/>
  <c r="C61" i="10"/>
  <c r="C41" i="10"/>
  <c r="C62" i="10"/>
  <c r="C64" i="10" s="1"/>
  <c r="C81" i="10" s="1"/>
  <c r="C45" i="10" l="1"/>
  <c r="C77" i="10" s="1"/>
  <c r="C79" i="10" s="1"/>
  <c r="C82" i="10" s="1"/>
  <c r="D9" i="1"/>
  <c r="D7" i="1"/>
  <c r="D8" i="1"/>
  <c r="D6" i="1"/>
  <c r="C46" i="10" l="1"/>
  <c r="C48" i="10"/>
  <c r="C53" i="10" s="1"/>
  <c r="C55" i="10" s="1"/>
  <c r="C56" i="10" s="1"/>
  <c r="D4" i="1"/>
  <c r="D3" i="1"/>
  <c r="C50" i="10" l="1"/>
  <c r="C51" i="10" s="1"/>
  <c r="D10" i="1"/>
  <c r="D16" i="1" s="1"/>
  <c r="D15" i="1" l="1"/>
  <c r="D14" i="1"/>
  <c r="B3" i="2"/>
  <c r="D17" i="1" l="1"/>
  <c r="D4" i="2" s="1"/>
  <c r="D3" i="2"/>
  <c r="D6" i="2" s="1"/>
  <c r="D14" i="2" l="1"/>
  <c r="D18" i="2" l="1"/>
  <c r="D26" i="2" l="1"/>
  <c r="D30" i="2"/>
  <c r="D42" i="2" l="1"/>
  <c r="D50" i="2" s="1"/>
  <c r="D38" i="2"/>
</calcChain>
</file>

<file path=xl/sharedStrings.xml><?xml version="1.0" encoding="utf-8"?>
<sst xmlns="http://schemas.openxmlformats.org/spreadsheetml/2006/main" count="3145" uniqueCount="366">
  <si>
    <t>Total Contractor Costs (2010)</t>
  </si>
  <si>
    <t>Entergy</t>
  </si>
  <si>
    <t>Contingency (2010)</t>
  </si>
  <si>
    <t>Balance of Plant (2008)</t>
  </si>
  <si>
    <t>EPA (2013)</t>
  </si>
  <si>
    <t>EPA Adjustments</t>
  </si>
  <si>
    <t>Comments</t>
  </si>
  <si>
    <t>Balance of Plant Indirect Costs (2012)</t>
  </si>
  <si>
    <t>Misc Contract Labor (2012)</t>
  </si>
  <si>
    <t>Entergy Internal Costs (2012)</t>
  </si>
  <si>
    <t>Capital suspense (2012)</t>
  </si>
  <si>
    <t>Capital Recovery Factor (CRF)</t>
  </si>
  <si>
    <t>Interest Rate (%)</t>
  </si>
  <si>
    <t>Equipment Lifetime (years)</t>
  </si>
  <si>
    <t>Direct Annual Costs (2008)</t>
  </si>
  <si>
    <t>Year</t>
  </si>
  <si>
    <t>CEPCI Annual Composite Index</t>
  </si>
  <si>
    <t>Total Capital Investment (TCI)</t>
  </si>
  <si>
    <t>Emissions data were downloaded from EPA CAMD's website: http://ampd.epa.gov/ampd/</t>
  </si>
  <si>
    <t>The elevation adjustment to the base absorber island and balance of plant costs, that is suggested on page 2 of the above documentation, was accomplished by incorporating an atmospheric pressure change with elevation calculation by NASA via http://exploration.grc.nasa.gov/education/rocket/atmosmet.html.  It should be noted that in addition to the NASA algorithm, this calculation requires converting the input feet to meters (multiplying elevation*0.3048) and K-Pa to psi (multiplying the calculation by 0.145038).</t>
  </si>
  <si>
    <t>Electrostatic Precipitator</t>
  </si>
  <si>
    <t>Overfire Air</t>
  </si>
  <si>
    <t>Residual Oil</t>
  </si>
  <si>
    <t>Coal</t>
  </si>
  <si>
    <t>Tangentially-fired</t>
  </si>
  <si>
    <t>Operating</t>
  </si>
  <si>
    <t>Jefferson</t>
  </si>
  <si>
    <t>White Bluff</t>
  </si>
  <si>
    <t>Independence</t>
  </si>
  <si>
    <t xml:space="preserve"> Facility Longitude</t>
  </si>
  <si>
    <t xml:space="preserve"> Facility Latitude</t>
  </si>
  <si>
    <t xml:space="preserve"> PM Control(s)</t>
  </si>
  <si>
    <t xml:space="preserve"> NOx Control(s)</t>
  </si>
  <si>
    <t xml:space="preserve"> SO2 Control(s)</t>
  </si>
  <si>
    <t xml:space="preserve"> Fuel Type (Secondary)</t>
  </si>
  <si>
    <t xml:space="preserve"> Fuel Type (Primary)</t>
  </si>
  <si>
    <t xml:space="preserve"> Unit Type</t>
  </si>
  <si>
    <t xml:space="preserve"> Operating Status</t>
  </si>
  <si>
    <t xml:space="preserve"> County</t>
  </si>
  <si>
    <t>Gross Heat Rate avg. 2009-2012 excluding Max and Min (tons)</t>
  </si>
  <si>
    <t>Gross Heat Rate 2009-2012 Avg. (Btu/kWh)</t>
  </si>
  <si>
    <t>Gross Heat Rate 2009-2012 Max (Btu/kWh)</t>
  </si>
  <si>
    <t>Gross Heat Rate (Btu/kWh)</t>
  </si>
  <si>
    <t xml:space="preserve"> Gross Load avg. 2009-2012 excluding Max and Min (MW-h)</t>
  </si>
  <si>
    <t xml:space="preserve"> Gross Load Max 2009-2012 (MW-h)</t>
  </si>
  <si>
    <t xml:space="preserve"> Gross Load avg. (MW-h)</t>
  </si>
  <si>
    <t xml:space="preserve"> Gross Load (MW-h)</t>
  </si>
  <si>
    <t xml:space="preserve"> # of Months Reported</t>
  </si>
  <si>
    <t xml:space="preserve"> Operating Time</t>
  </si>
  <si>
    <t xml:space="preserve"> Heat Input (MMBtu)</t>
  </si>
  <si>
    <t xml:space="preserve"> NOx (tons)</t>
  </si>
  <si>
    <t xml:space="preserve"> Avg. NOx Rate (lb/MMBtu)</t>
  </si>
  <si>
    <t>SO2 avg. 2009-2012 excluding Max and Min (tons)</t>
  </si>
  <si>
    <t>SO2 max 2009-2012 (tons)</t>
  </si>
  <si>
    <t xml:space="preserve"> SO2 (tons)</t>
  </si>
  <si>
    <t xml:space="preserve"> Year</t>
  </si>
  <si>
    <t xml:space="preserve"> Unit ID</t>
  </si>
  <si>
    <t xml:space="preserve"> Facility ID (ORISPL)</t>
  </si>
  <si>
    <t xml:space="preserve"> Facility Name</t>
  </si>
  <si>
    <t>Arkansas Electric Cooperative Corporation, City of Jonesboro, Conway Corporation, Entergy Corporation, West Memphis Utilities</t>
  </si>
  <si>
    <t>Arkansas Electric Cooperative Corporation, City of Jonesboro, City of Osceola, Conway Corporation, Entergy Corporation, West Memphis Utilities</t>
  </si>
  <si>
    <t xml:space="preserve"> Owner</t>
  </si>
  <si>
    <t>Max. Annual SO2 (lbs/MMBtu)</t>
  </si>
  <si>
    <t>Avg. Annual SO2 (lbs/MMBtu)</t>
  </si>
  <si>
    <t>SO2 Rate (lbs/MMBtu)</t>
  </si>
  <si>
    <t xml:space="preserve"> Month</t>
  </si>
  <si>
    <t>$/ton</t>
  </si>
  <si>
    <t>J/(100%)*(SO2 emission baseline)</t>
  </si>
  <si>
    <t>SO2 emissions reduction (tons)</t>
  </si>
  <si>
    <t>Total annualized costs</t>
  </si>
  <si>
    <t>FOM*(Gross Load)*(1000kw/MW)*(8760 hours/year)</t>
  </si>
  <si>
    <t>Fixed operating costs</t>
  </si>
  <si>
    <t>VOM*(Gross Load)</t>
  </si>
  <si>
    <t>Variable operating costs</t>
  </si>
  <si>
    <t>Annualized capital costs</t>
  </si>
  <si>
    <t>Capital Recovery factor</t>
  </si>
  <si>
    <t>Excludes owner's costs and AFUDC</t>
  </si>
  <si>
    <t xml:space="preserve"> Capital, engineering and construction cost</t>
  </si>
  <si>
    <t>Annualization</t>
  </si>
  <si>
    <t>Total Variable O&amp;M Costs</t>
  </si>
  <si>
    <t>VOM ($/MWh)</t>
  </si>
  <si>
    <t>Variable O&amp;M costs for makeup water</t>
  </si>
  <si>
    <t>VOMM ($/MWh)</t>
  </si>
  <si>
    <t>In the calculation, the factor of "10" results from dividing the conversion from kilo to mega (1000) by 100% , since the input for M is a percentage.</t>
  </si>
  <si>
    <t>Variable O&amp;M costs for additional auxiliary power required including additional fan power (Refer to Aux Power % above)</t>
  </si>
  <si>
    <t>VOMP ($/MWh)</t>
  </si>
  <si>
    <t>Variable O&amp;M costs for waste disposal</t>
  </si>
  <si>
    <t>VOMW ($/MWh)</t>
  </si>
  <si>
    <t>Variable O&amp;M costs for lime reagent</t>
  </si>
  <si>
    <t>VOMR ($/MWh)</t>
  </si>
  <si>
    <t>Variable O&amp;M Cost</t>
  </si>
  <si>
    <t>Total Fixed O&amp;M costs</t>
  </si>
  <si>
    <t>FOM ($/kW-yr)</t>
  </si>
  <si>
    <t>Fixed O&amp;M additional administrative labor costs</t>
  </si>
  <si>
    <t>FOMA ($/kW-yr)</t>
  </si>
  <si>
    <t>Fixed O&amp;M costs for waste disposal</t>
  </si>
  <si>
    <t>FOMM ($/kW-yr)</t>
  </si>
  <si>
    <t>Fixed O&amp;M additional operating labor costs.  Based on eight additional operators.</t>
  </si>
  <si>
    <t>FOMO ($/kW-yr)</t>
  </si>
  <si>
    <t>Fixed O&amp;M Cost</t>
  </si>
  <si>
    <t>Includes Owner's Costs and AFUDC</t>
  </si>
  <si>
    <t>Total Project Cost per kW (including AFUDC and owner's costs)</t>
  </si>
  <si>
    <t>TPC ($/kW)</t>
  </si>
  <si>
    <t>Total Project Cost (including AFUDC and owner's costs)</t>
  </si>
  <si>
    <t>TPC ($)</t>
  </si>
  <si>
    <t>AFUDC (Based on a 3 year engineering and construction cycle)</t>
  </si>
  <si>
    <t>B2</t>
  </si>
  <si>
    <t>Includes Owner's Costs</t>
  </si>
  <si>
    <t>Total project cost per kW without AFUDC</t>
  </si>
  <si>
    <t>TPC' ($/kw)</t>
  </si>
  <si>
    <t>Total project cost without AFUDC</t>
  </si>
  <si>
    <t>TPC' ($)</t>
  </si>
  <si>
    <t>Owner's costs including all "home office" costs (owner's engineering, management, and procurement activities)</t>
  </si>
  <si>
    <t>B1</t>
  </si>
  <si>
    <t>Excludes Owner's Costs.</t>
  </si>
  <si>
    <t>Capital, engineering and construction cost subtotal per kW</t>
  </si>
  <si>
    <t>CECC($/kW)</t>
  </si>
  <si>
    <t>Capital, engineering and construction cost subtotal</t>
  </si>
  <si>
    <t>CECC ($)</t>
  </si>
  <si>
    <t xml:space="preserve">Contractor profit and fees. </t>
  </si>
  <si>
    <t>A3</t>
  </si>
  <si>
    <t>Labor adjustment for 6 x 10 hour shift premium, per diem, etc.</t>
  </si>
  <si>
    <t>A2</t>
  </si>
  <si>
    <t>Engineering and Construction Mnagement costs</t>
  </si>
  <si>
    <t>A1</t>
  </si>
  <si>
    <t>Total Project Cost</t>
  </si>
  <si>
    <t>Base module cost per kW</t>
  </si>
  <si>
    <t>BM($/kW)</t>
  </si>
  <si>
    <r>
      <t>Page 6 of the S&amp;L report gives BM=BMR+BMF+</t>
    </r>
    <r>
      <rPr>
        <sz val="11"/>
        <color indexed="8"/>
        <rFont val="Calibri"/>
        <family val="2"/>
      </rPr>
      <t>BMW</t>
    </r>
    <r>
      <rPr>
        <sz val="11"/>
        <color theme="1"/>
        <rFont val="Calibri"/>
        <family val="2"/>
        <scheme val="minor"/>
      </rPr>
      <t xml:space="preserve">+BMB.  </t>
    </r>
    <r>
      <rPr>
        <sz val="11"/>
        <color indexed="8"/>
        <rFont val="Calibri"/>
        <family val="2"/>
      </rPr>
      <t>BMW appears to be an error (holdover from wet scrubber algorithm), as no formula is given for BMW.</t>
    </r>
  </si>
  <si>
    <t>Total Base module cost including retrofit factor</t>
  </si>
  <si>
    <t>BM($)</t>
  </si>
  <si>
    <t>Adjustment to base module balance of plant costs (including ID or booster fans, piping, ductwork, electrical, etc.), if elevation is greater than 500 feet.  See page 2 of the S&amp;L documentation.</t>
  </si>
  <si>
    <t>BMBA($)</t>
  </si>
  <si>
    <t>Base module balance of plant costs (including ID or booster fans, piping, ductwork, electrical, etc.)</t>
  </si>
  <si>
    <t>BMB($)</t>
  </si>
  <si>
    <t>Base module reagent preparation and waste recycle/handling cost</t>
  </si>
  <si>
    <t>BMF($)</t>
  </si>
  <si>
    <t>Base module absorber island cost</t>
  </si>
  <si>
    <t>BMR($)</t>
  </si>
  <si>
    <t>Includes: Equipment, installation, buildings, foundations, electrical, and retrofit difficulty</t>
  </si>
  <si>
    <t xml:space="preserve">Explanation of Calculation </t>
  </si>
  <si>
    <t>Capital Cost Calculation</t>
  </si>
  <si>
    <t>3 -yr avg. 2009-2013, excluding max and min</t>
  </si>
  <si>
    <t>&lt;---- User Input</t>
  </si>
  <si>
    <t>N/A</t>
  </si>
  <si>
    <t>(tons/year)</t>
  </si>
  <si>
    <t>SO2 Emission Baseline</t>
  </si>
  <si>
    <t>Max annual value from 2009-2013</t>
  </si>
  <si>
    <t xml:space="preserve"> (MW-hours)</t>
  </si>
  <si>
    <t>Gross Load</t>
  </si>
  <si>
    <t>(years)</t>
  </si>
  <si>
    <t>Equipment Lifetime</t>
  </si>
  <si>
    <t>(%)</t>
  </si>
  <si>
    <t>Interest Rate</t>
  </si>
  <si>
    <t>&lt;--- User Input (no entry needed if less than 500 feet)</t>
  </si>
  <si>
    <t>(feet)</t>
  </si>
  <si>
    <t>Elevation adjustment if &gt; 500 Feet</t>
  </si>
  <si>
    <t>Entergy from S&amp;L 2008 Wet FGD vs. SDA Cost Analysis</t>
  </si>
  <si>
    <t xml:space="preserve">&lt;--- User Input </t>
  </si>
  <si>
    <t>($/hr)</t>
  </si>
  <si>
    <t>T</t>
  </si>
  <si>
    <t>Operating Labor Rate</t>
  </si>
  <si>
    <t>($/1000[gal])</t>
  </si>
  <si>
    <t>S</t>
  </si>
  <si>
    <t>Makeup Water Cost</t>
  </si>
  <si>
    <t>($/kWh)</t>
  </si>
  <si>
    <t>R</t>
  </si>
  <si>
    <t>Aux Power Cost</t>
  </si>
  <si>
    <t>($/Ton)</t>
  </si>
  <si>
    <t>Q</t>
  </si>
  <si>
    <t>Waste Disposal Cost</t>
  </si>
  <si>
    <t>P</t>
  </si>
  <si>
    <t>Lime Cost</t>
  </si>
  <si>
    <t>(0.04898*(D^2)+0.5925*D+55.11)*A*F*G/1000</t>
  </si>
  <si>
    <t>(1000 gph)</t>
  </si>
  <si>
    <t>N</t>
  </si>
  <si>
    <t>Makeup Water Rate</t>
  </si>
  <si>
    <t>Assume aux power is included in VOM</t>
  </si>
  <si>
    <t>(0.000547*D^2+0.00649*D+1.3)*F*G</t>
  </si>
  <si>
    <t>M</t>
  </si>
  <si>
    <t>Include Aux Power in VOM</t>
  </si>
  <si>
    <t>User Input ---&gt;</t>
  </si>
  <si>
    <t>(0.8016*(D^2)+31.1917*D)*A*G/2000 (Based on 95% SO2 removal)</t>
  </si>
  <si>
    <t>(Ton/Hr)</t>
  </si>
  <si>
    <t>L</t>
  </si>
  <si>
    <t>Waste Rate</t>
  </si>
  <si>
    <t>(0.6702*(D^2)+13.42*D)*A*G/2000 (Based on 95% SO2 removal)</t>
  </si>
  <si>
    <t>K</t>
  </si>
  <si>
    <t>Lime Rate</t>
  </si>
  <si>
    <t>Assume 95%.  If outlet  &lt; 0.06 lbs/MMBtu, then assume % control for 0.06 lbs/MMBtu.</t>
  </si>
  <si>
    <t>&lt;--- User Input (Used to adjust actual operating costs)</t>
  </si>
  <si>
    <t>J</t>
  </si>
  <si>
    <r>
      <t>Operating SO</t>
    </r>
    <r>
      <rPr>
        <vertAlign val="subscript"/>
        <sz val="11"/>
        <color theme="1"/>
        <rFont val="Calibri"/>
        <family val="2"/>
        <scheme val="minor"/>
      </rPr>
      <t>2</t>
    </r>
    <r>
      <rPr>
        <sz val="11"/>
        <color theme="1"/>
        <rFont val="Calibri"/>
        <family val="2"/>
        <scheme val="minor"/>
      </rPr>
      <t xml:space="preserve"> Removal</t>
    </r>
  </si>
  <si>
    <t>A*C*1000</t>
  </si>
  <si>
    <t>(Btu/Hr)</t>
  </si>
  <si>
    <t>H</t>
  </si>
  <si>
    <t>Heat Input</t>
  </si>
  <si>
    <t>C/10000</t>
  </si>
  <si>
    <t>G</t>
  </si>
  <si>
    <t>Heat Rate Factor</t>
  </si>
  <si>
    <t>Bit=1, PRB=1.05, Lig=1.07</t>
  </si>
  <si>
    <t>F</t>
  </si>
  <si>
    <t>Coal Factor</t>
  </si>
  <si>
    <t>&lt;--- User Input (PRB, BIT, or LIG)</t>
  </si>
  <si>
    <t>PRB</t>
  </si>
  <si>
    <t>E</t>
  </si>
  <si>
    <t>Type of Coal</t>
  </si>
  <si>
    <t>Max monthly value from 2009-2013</t>
  </si>
  <si>
    <t>&lt;--- User Input (SDA FGD Estimation only valid up to 3 lb/MMBtu SO2 Rate)</t>
  </si>
  <si>
    <t>(lb/MMBtu)</t>
  </si>
  <si>
    <t>D</t>
  </si>
  <si>
    <t>SO2 Rate</t>
  </si>
  <si>
    <t>&lt;--- User Input</t>
  </si>
  <si>
    <t>(Btu/kWh)</t>
  </si>
  <si>
    <t>C</t>
  </si>
  <si>
    <t>Gross Heat Rate</t>
  </si>
  <si>
    <t>LIG</t>
  </si>
  <si>
    <t>BIT</t>
  </si>
  <si>
    <t>&lt;--- User Input (an "average" retrofit has a factor =1.0)</t>
  </si>
  <si>
    <t>B</t>
  </si>
  <si>
    <t>Retrofit Factor</t>
  </si>
  <si>
    <t>Don't include Aux Power in VOM</t>
  </si>
  <si>
    <t>Aux Power VOM Possibilities</t>
  </si>
  <si>
    <t>&lt;--- User Input (Greater than 50 MW)</t>
  </si>
  <si>
    <t>(MW)</t>
  </si>
  <si>
    <t>A</t>
  </si>
  <si>
    <t>Unit Size (Gross)</t>
  </si>
  <si>
    <t xml:space="preserve">Choices for Input Boxes </t>
  </si>
  <si>
    <t>MW</t>
  </si>
  <si>
    <t>Unit</t>
  </si>
  <si>
    <t>Facility</t>
  </si>
  <si>
    <t>Calculation</t>
  </si>
  <si>
    <t>Value</t>
  </si>
  <si>
    <t>Units</t>
  </si>
  <si>
    <t>Designation</t>
  </si>
  <si>
    <t>Variable</t>
  </si>
  <si>
    <t>Potential Facilities to Analyze</t>
  </si>
  <si>
    <t>(Total Capital Investment TCI)</t>
  </si>
  <si>
    <t xml:space="preserve"> The "Entergy Costs" tabs summarizes those costs we propose are either undocumented or disallowed.</t>
  </si>
  <si>
    <t xml:space="preserve">The "IPM WB 1 - 0.65 lb" and the "IPM WB 1 - 2 lb" tabs of this spreadsheet are adapted from the Sargent and Lundy cost algorithms documentation for a SDA FGD installation, as incorporated in version 5.13 of the IPM model.  These tabs are used to calculate correction factors to the annualized costs to account for Entergy having costed scrubber systems for the White Bluff units assuming coal with a much higher sulfur content than has historically been burned.  The "Source" tab lists the origination of these cost algorithms and other information used in this spreadsheet.   These tabs include a further correction recommended on page 2 of the Sargent and Lundy documentation, but not included in the actual cost algorithms - an adjustment to the base absorber island and balance of plant costs due to atmospheric pressure changes with elevation. </t>
  </si>
  <si>
    <t xml:space="preserve">The "Cost Effectiveness" tab first applies corrections to the costs in the "Entergy Costs" tab, generated from the information in the "IPM WB 1 - 0.65 lb" and the "IPM WB 1 - 2 lb" tabs.  It then calculates the annualized costs for SDA a the White Bluff Units. </t>
  </si>
  <si>
    <t xml:space="preserve"> Emissions data downloaded from our Air Markets Program Data  are included in the "Annual Emissions" and "Monthly Emissions" tabs as an aid in choosing some input values. </t>
  </si>
  <si>
    <t>Item</t>
  </si>
  <si>
    <t xml:space="preserve">  Entergy 2010 cost escalated to 2013</t>
  </si>
  <si>
    <t xml:space="preserve">  EPA escalated to 2013</t>
  </si>
  <si>
    <t xml:space="preserve">  Disallowed or undocumented - see TSD for details</t>
  </si>
  <si>
    <t>Indirect Annual Costs</t>
  </si>
  <si>
    <t xml:space="preserve">          Overhead (2008)</t>
  </si>
  <si>
    <t xml:space="preserve">          Administrative Charges @ 2% of TCI</t>
  </si>
  <si>
    <t xml:space="preserve">          Property Tax @ 1% of TCI</t>
  </si>
  <si>
    <t xml:space="preserve">          Insurance @ 1% of TCI</t>
  </si>
  <si>
    <t>Total Indirect Annual Costs</t>
  </si>
  <si>
    <t>Annualized Capital Costs</t>
  </si>
  <si>
    <t>White Bluff Cost at 2.0 lbs/MMBtu</t>
  </si>
  <si>
    <t>Total Annualized Cost</t>
  </si>
  <si>
    <t>SO2 Emission Reduction (tons)</t>
  </si>
  <si>
    <t>SO2 Emission Baseline (tons)</t>
  </si>
  <si>
    <t>SO2 Emission Rate (lbs/MMBtu)</t>
  </si>
  <si>
    <t>Controlled SO2 Emission Rate (%)</t>
  </si>
  <si>
    <t>Cost Effectiveness ($/ton)</t>
  </si>
  <si>
    <t>White Bluff SDA Costs Per Unit*</t>
  </si>
  <si>
    <t>*There is less than a 1% difference between how Entergy calculates the SDA cost for Unit 1 and Unit 2.  We therefore ignore this difference in the corrections we make and assume the cost for either unit corresponds to Unit 1.</t>
  </si>
  <si>
    <r>
      <rPr>
        <vertAlign val="superscript"/>
        <sz val="11"/>
        <color theme="1"/>
        <rFont val="Calibri"/>
        <family val="2"/>
        <scheme val="minor"/>
      </rPr>
      <t>2</t>
    </r>
    <r>
      <rPr>
        <sz val="11"/>
        <color theme="1"/>
        <rFont val="Calibri"/>
        <family val="2"/>
        <scheme val="minor"/>
      </rPr>
      <t xml:space="preserve"> Entergy also includes annualized capital costs as an indirect annual cost, but we separate it out here, as its correction factor is significantly different.</t>
    </r>
  </si>
  <si>
    <t>No elevation adjustment needed</t>
  </si>
  <si>
    <t xml:space="preserve">  S&amp;L 2008 BOP minus EPA adjustments, then escalated to 2013</t>
  </si>
  <si>
    <t xml:space="preserve">  2% of TCI</t>
  </si>
  <si>
    <t xml:space="preserve">  1% of TCI</t>
  </si>
  <si>
    <t>White Bluff Unit 1</t>
  </si>
  <si>
    <t>Max monthly value from 2009-2013 for Unit 1</t>
  </si>
  <si>
    <t>Max monthly value from 2009-2013 for Unit 2</t>
  </si>
  <si>
    <t>3 -yr avg. 2009-2013 for Unit 1, excluding max and min</t>
  </si>
  <si>
    <t>3 -yr avg. 2009-2013 for Unit 2, excluding max and min</t>
  </si>
  <si>
    <t>White Bluff Unit 2</t>
  </si>
  <si>
    <t>Assume 95%.  If outlet &lt; 0.06 lbs/MMBtu, then assume % control for 0.06 lbs/MMBtu.</t>
  </si>
  <si>
    <t>Independence Unit 1</t>
  </si>
  <si>
    <r>
      <t>Ratio of 0.68 lb/MMBtu to 2.0 lb/MMBtu</t>
    </r>
    <r>
      <rPr>
        <vertAlign val="superscript"/>
        <sz val="11"/>
        <color theme="1"/>
        <rFont val="Calibri"/>
        <family val="2"/>
        <scheme val="minor"/>
      </rPr>
      <t>1</t>
    </r>
  </si>
  <si>
    <t>Corrected White Bluff Cost to 0.68 lbs/MMBtu</t>
  </si>
  <si>
    <t>Independence Unit 2</t>
  </si>
  <si>
    <t xml:space="preserve">The "IPM WB 1-2 lb" and the "IPM WB - 0.68 lb" tabs of this spreadsheet are adapted from the Sargent and Lundy cost algorithms documentation for a SDA FGD installation, as incorporated in version 5.13 of the IPM model.  These tabs include a further correction recommended on page 2 of the Sargent and Lundy documentation, but not included in the actual cost algorithms - an adjustment to the base absorber island and balance of plant costs due to atmospheric pressure changes with elevation.  The documentation for these cost algorithms are present in  "IPM Model – Updates to Cost and Performance for APC Technologies, SDA FGD Cost Development Methodology, Final March 2013, Project 12847-002, Systems Research and Applications Corporation, Prepared by Sargent and Lundy." </t>
  </si>
  <si>
    <t>Entergy's SDA costs came from "Revised Bart Five Factor Analysis, White Bluff Steam Electric Station, Redfield, Arkansas (AFIN 35-00110).  Appendix A, SDA cost analysis."</t>
  </si>
  <si>
    <t>ENTERGY</t>
  </si>
  <si>
    <t>ACCT. NO.</t>
  </si>
  <si>
    <t>DESCRIPTION</t>
  </si>
  <si>
    <t>ENTERGY TOTAL EQUIPMENT COST</t>
  </si>
  <si>
    <t>ENTERGY TOTAL MATERIAL COST</t>
  </si>
  <si>
    <t>ENTERGY TOTAL LABOR COST</t>
  </si>
  <si>
    <t>ENTERGY TOTAL COST</t>
  </si>
  <si>
    <t>EPA TOTAL EQUIPMENT COST</t>
  </si>
  <si>
    <t>EPA TOTAL MATERIAL COST</t>
  </si>
  <si>
    <t>EPA TOTAL LABOR COST</t>
  </si>
  <si>
    <t>EPA TOTAL COST</t>
  </si>
  <si>
    <t>MOBILIZE/DEMOBILIZE @ 1% OF LABOR</t>
  </si>
  <si>
    <t>COST DUE TO OVERTIME - 5-10'S</t>
  </si>
  <si>
    <t>PER DIEM - @ $10 PER HOUR</t>
  </si>
  <si>
    <t>SPARE PARTS @ 1% OF EQUIPMENT</t>
  </si>
  <si>
    <t>FREIGHT @ 5% OF MATERIAL</t>
  </si>
  <si>
    <t>GENERAL &amp; ADMINISTRATIVE (G&amp;A) @ 5% OF MATERIAL AND LABOR</t>
  </si>
  <si>
    <t xml:space="preserve"> </t>
  </si>
  <si>
    <t>PROFIT @ 10% OF MATERIAL AND LABOR</t>
  </si>
  <si>
    <t>NON CONTRACTOR INDIRECTS</t>
  </si>
  <si>
    <t>ENGINEERING - BOP</t>
  </si>
  <si>
    <t>TOTALS</t>
  </si>
  <si>
    <t>REDUCTION IN BOP COSTS</t>
  </si>
  <si>
    <t>For the IPM tabs, user must have "show objects" selected in Excel's options for the drop down menus to work:</t>
  </si>
  <si>
    <t>See the "AR Cost TSD" file for details on how the above information has been used.</t>
  </si>
  <si>
    <t>Acct. No.</t>
  </si>
  <si>
    <t>Description</t>
  </si>
  <si>
    <t>Equipment</t>
  </si>
  <si>
    <t>Material</t>
  </si>
  <si>
    <t>Labor</t>
  </si>
  <si>
    <t>Total</t>
  </si>
  <si>
    <t>Reagent Prep Enclosure</t>
  </si>
  <si>
    <t>4200 Ton Limes Storage Silos</t>
  </si>
  <si>
    <t>Enclosed Railcar Unloading Shed</t>
  </si>
  <si>
    <t>Unit 1 NOx Controls</t>
  </si>
  <si>
    <t>Unit 2 NOx Controls</t>
  </si>
  <si>
    <t>Unit 1 Flue Gas System</t>
  </si>
  <si>
    <t>Paint Chimney</t>
  </si>
  <si>
    <t>Unit 2 Flue Gas System</t>
  </si>
  <si>
    <t>Totals for Excluded BOP Items</t>
  </si>
  <si>
    <t>Totals for all BOP Items Excluding Percentage Costs</t>
  </si>
  <si>
    <t>Excluded BOP Costs</t>
  </si>
  <si>
    <t>ADJUSTED BOP COSTS</t>
  </si>
  <si>
    <t xml:space="preserve">EPA* </t>
  </si>
  <si>
    <t>* EPA Adjusted BOP costs are calculated by applying the Equipment, Material, and Labor reduction percentages to Entergy's costs, as Entergy's costs are based on Equipment, Material, and Labor totals, and those totals have changed.</t>
  </si>
  <si>
    <t xml:space="preserve">The BOP costs are modified based on costs taken from a 2008 S&amp;L quote in the "Entergy Response to EPA Region 6 comments on Entergy White Bluff draft BART Report 06/10/13.  Attachment B."  </t>
  </si>
  <si>
    <t>Percentage BOP Items Reduced (%)</t>
  </si>
  <si>
    <r>
      <rPr>
        <vertAlign val="superscript"/>
        <sz val="11"/>
        <color theme="1"/>
        <rFont val="Calibri"/>
        <family val="2"/>
        <scheme val="minor"/>
      </rPr>
      <t>1</t>
    </r>
    <r>
      <rPr>
        <sz val="11"/>
        <color theme="1"/>
        <rFont val="Calibri"/>
        <family val="2"/>
        <scheme val="minor"/>
      </rPr>
      <t xml:space="preserve"> Uses the annualized capital and the sum of the fixed and variable operating costs from the "IPM WB 1 - 2 lb" and the "IPM WB 1 - 0.68 lb" tabs.  </t>
    </r>
  </si>
  <si>
    <t>Using TCI from Entergy Costs tab</t>
  </si>
  <si>
    <t>Assumed same as White Bluff Unit 1</t>
  </si>
  <si>
    <t>Sum of direct and indirect costs from Entergy Cost tab</t>
  </si>
  <si>
    <t xml:space="preserve">changed to calculated totals </t>
  </si>
  <si>
    <t>Added "paint chimney" back into BOP costs</t>
  </si>
  <si>
    <t>The material, and labor reduction percentages changed.</t>
  </si>
  <si>
    <t>As above, the material, and labor reduction percentages changed so the calculations that depend on them changed.</t>
  </si>
  <si>
    <t>Updated BOP total from BOP tab, and resulting sums that depend on it.</t>
  </si>
  <si>
    <t>Updated totals  due to BOP change</t>
  </si>
  <si>
    <t>Alternate White Bluff Unit 1</t>
  </si>
  <si>
    <t>Alternate White Bluff Unit 2</t>
  </si>
  <si>
    <t>Alternate Independence Unit 1</t>
  </si>
  <si>
    <t>Alternate Independence Unit 2</t>
  </si>
  <si>
    <t xml:space="preserve">  Disallowed costs added back in, then escalated to 2013</t>
  </si>
  <si>
    <t xml:space="preserve">  Disallowed costs added back in, then escalated to 2014</t>
  </si>
  <si>
    <t xml:space="preserve">  Disallowed costs added back in, then escalated to 2015</t>
  </si>
  <si>
    <t xml:space="preserve">  Disallowed costs added back in, then escalated to 2016</t>
  </si>
  <si>
    <t>Alternate White Bluff SDA Costs Per Unit**</t>
  </si>
  <si>
    <t>**Added back in all disputed BOP costs, regardless of whether these costs are disallowed under the CCM or are undocumented.</t>
  </si>
  <si>
    <t xml:space="preserve">  S&amp;L 2008 BOP minus just NOx controls, then escalated to 2013</t>
  </si>
  <si>
    <t>Excluded BOP Costs**</t>
  </si>
  <si>
    <t>Entergy does not dispute these costs should be disallowed</t>
  </si>
  <si>
    <t>The equipment, material, and labor reduction percentages changed.</t>
  </si>
  <si>
    <t>Alternate BOP Adjustment</t>
  </si>
  <si>
    <r>
      <t>Total Direct Annual Costs</t>
    </r>
    <r>
      <rPr>
        <vertAlign val="superscript"/>
        <sz val="11"/>
        <color theme="1"/>
        <rFont val="Calibri"/>
        <family val="2"/>
        <scheme val="minor"/>
      </rPr>
      <t>2</t>
    </r>
  </si>
  <si>
    <r>
      <t>Total Indirect Annual Costs</t>
    </r>
    <r>
      <rPr>
        <sz val="11"/>
        <color theme="1"/>
        <rFont val="Calibri"/>
        <family val="2"/>
        <scheme val="minor"/>
      </rPr>
      <t/>
    </r>
  </si>
  <si>
    <t>Updated to multiply the Total indirect annual costs by 0.9584</t>
  </si>
  <si>
    <t>Total Cost</t>
  </si>
  <si>
    <t>∆ Deciview</t>
  </si>
  <si>
    <t>Mingo</t>
  </si>
  <si>
    <t>Hercules Glades</t>
  </si>
  <si>
    <t>Upper Buffalo</t>
  </si>
  <si>
    <t>Caney Creek</t>
  </si>
  <si>
    <t>Control Option</t>
  </si>
  <si>
    <t>$/Deciview</t>
  </si>
  <si>
    <t>Annualized Costs</t>
  </si>
  <si>
    <t xml:space="preserve">Independence Unit 1 </t>
  </si>
  <si>
    <t xml:space="preserve">Independence Unit 2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</si>
</sst>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quot;$&quot;#,##0"/>
    <numFmt numFmtId="165" formatCode="#,##0.0000"/>
    <numFmt numFmtId="166" formatCode="#,##0.0"/>
    <numFmt numFmtId="167" formatCode="0.0"/>
    <numFmt numFmtId="168" formatCode="0.0000"/>
    <numFmt numFmtId="169" formatCode="0.000"/>
    <numFmt numFmtId="170"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indexed="8"/>
      <name val="Calibri"/>
      <family val="2"/>
    </font>
    <font>
      <sz val="11"/>
      <color indexed="8"/>
      <name val="Calibri"/>
      <family val="2"/>
    </font>
    <font>
      <vertAlign val="subscript"/>
      <sz val="11"/>
      <color theme="1"/>
      <name val="Calibri"/>
      <family val="2"/>
      <scheme val="minor"/>
    </font>
    <font>
      <vertAlign val="superscript"/>
      <sz val="11"/>
      <color theme="1"/>
      <name val="Calibri"/>
      <family val="2"/>
      <scheme val="minor"/>
    </font>
    <font>
      <sz val="11"/>
      <color rgb="FF000000"/>
      <name val="Calibri"/>
      <family val="2"/>
    </font>
  </fonts>
  <fills count="9">
    <fill>
      <patternFill patternType="none"/>
    </fill>
    <fill>
      <patternFill patternType="gray125"/>
    </fill>
    <fill>
      <patternFill patternType="solid">
        <fgColor rgb="FF92D050"/>
        <bgColor indexed="64"/>
      </patternFill>
    </fill>
    <fill>
      <patternFill patternType="solid">
        <fgColor rgb="FFFF9933"/>
        <bgColor indexed="64"/>
      </patternFill>
    </fill>
    <fill>
      <patternFill patternType="solid">
        <fgColor rgb="FFFF0000"/>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4" tint="0.79998168889431442"/>
        <bgColor indexed="64"/>
      </patternFill>
    </fill>
  </fills>
  <borders count="71">
    <border>
      <left/>
      <right/>
      <top/>
      <bottom/>
      <diagonal/>
    </border>
    <border>
      <left/>
      <right/>
      <top style="thin">
        <color theme="0" tint="-0.24994659260841701"/>
      </top>
      <bottom style="thin">
        <color theme="0" tint="-0.24994659260841701"/>
      </bottom>
      <diagonal/>
    </border>
    <border>
      <left style="thin">
        <color theme="1"/>
      </left>
      <right style="thick">
        <color theme="1"/>
      </right>
      <top style="thin">
        <color theme="1"/>
      </top>
      <bottom style="thick">
        <color theme="1"/>
      </bottom>
      <diagonal/>
    </border>
    <border>
      <left/>
      <right/>
      <top style="thin">
        <color theme="1"/>
      </top>
      <bottom style="thick">
        <color theme="1"/>
      </bottom>
      <diagonal/>
    </border>
    <border>
      <left style="thin">
        <color theme="1"/>
      </left>
      <right/>
      <top style="thin">
        <color theme="1"/>
      </top>
      <bottom style="thick">
        <color theme="1"/>
      </bottom>
      <diagonal/>
    </border>
    <border>
      <left style="thin">
        <color theme="1"/>
      </left>
      <right style="thin">
        <color theme="1"/>
      </right>
      <top style="thin">
        <color theme="1"/>
      </top>
      <bottom style="thick">
        <color theme="1"/>
      </bottom>
      <diagonal/>
    </border>
    <border>
      <left style="thick">
        <color theme="1"/>
      </left>
      <right style="thin">
        <color theme="1"/>
      </right>
      <top style="thin">
        <color theme="1"/>
      </top>
      <bottom style="thick">
        <color theme="1"/>
      </bottom>
      <diagonal/>
    </border>
    <border>
      <left style="thin">
        <color theme="1"/>
      </left>
      <right style="thick">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ck">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0" tint="-0.24994659260841701"/>
      </left>
      <right/>
      <top style="thin">
        <color theme="0" tint="-0.24994659260841701"/>
      </top>
      <bottom style="thin">
        <color theme="0" tint="-0.24994659260841701"/>
      </bottom>
      <diagonal/>
    </border>
    <border>
      <left style="thin">
        <color theme="1"/>
      </left>
      <right style="thick">
        <color theme="1"/>
      </right>
      <top style="thick">
        <color theme="1"/>
      </top>
      <bottom style="thin">
        <color theme="1"/>
      </bottom>
      <diagonal/>
    </border>
    <border>
      <left/>
      <right style="thin">
        <color theme="1"/>
      </right>
      <top style="thick">
        <color theme="1"/>
      </top>
      <bottom style="thin">
        <color theme="1"/>
      </bottom>
      <diagonal/>
    </border>
    <border>
      <left/>
      <right/>
      <top style="thick">
        <color theme="1"/>
      </top>
      <bottom style="thin">
        <color theme="1"/>
      </bottom>
      <diagonal/>
    </border>
    <border>
      <left style="thin">
        <color theme="1"/>
      </left>
      <right/>
      <top style="thick">
        <color theme="1"/>
      </top>
      <bottom style="thin">
        <color theme="1"/>
      </bottom>
      <diagonal/>
    </border>
    <border>
      <left style="thin">
        <color theme="1"/>
      </left>
      <right style="thin">
        <color theme="1"/>
      </right>
      <top style="thick">
        <color theme="1"/>
      </top>
      <bottom style="thin">
        <color theme="1"/>
      </bottom>
      <diagonal/>
    </border>
    <border>
      <left style="thick">
        <color theme="1"/>
      </left>
      <right style="thin">
        <color theme="1"/>
      </right>
      <top style="thick">
        <color theme="1"/>
      </top>
      <bottom style="thin">
        <color theme="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style="thin">
        <color theme="1"/>
      </left>
      <right style="thick">
        <color auto="1"/>
      </right>
      <top/>
      <bottom style="thick">
        <color auto="1"/>
      </bottom>
      <diagonal/>
    </border>
    <border>
      <left style="thin">
        <color theme="1"/>
      </left>
      <right style="thin">
        <color theme="1"/>
      </right>
      <top style="thin">
        <color theme="1"/>
      </top>
      <bottom style="thick">
        <color auto="1"/>
      </bottom>
      <diagonal/>
    </border>
    <border>
      <left style="thick">
        <color auto="1"/>
      </left>
      <right style="thin">
        <color theme="1"/>
      </right>
      <top style="thin">
        <color theme="1"/>
      </top>
      <bottom style="thick">
        <color auto="1"/>
      </bottom>
      <diagonal/>
    </border>
    <border>
      <left style="thin">
        <color theme="1"/>
      </left>
      <right style="thick">
        <color auto="1"/>
      </right>
      <top style="thin">
        <color auto="1"/>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style="thick">
        <color auto="1"/>
      </left>
      <right style="thin">
        <color theme="1"/>
      </right>
      <top/>
      <bottom style="thin">
        <color theme="1"/>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3" fillId="0" borderId="0"/>
    <xf numFmtId="44" fontId="1" fillId="0" borderId="0" applyFont="0" applyFill="0" applyBorder="0" applyAlignment="0" applyProtection="0"/>
  </cellStyleXfs>
  <cellXfs count="307">
    <xf numFmtId="0" fontId="0" fillId="0" borderId="0" xfId="0"/>
    <xf numFmtId="164" fontId="0" fillId="0" borderId="0" xfId="0" applyNumberFormat="1" applyAlignment="1">
      <alignment horizontal="right" vertical="center"/>
    </xf>
    <xf numFmtId="0" fontId="0" fillId="0" borderId="0" xfId="0" applyAlignment="1">
      <alignment wrapText="1"/>
    </xf>
    <xf numFmtId="0" fontId="3" fillId="0" borderId="0" xfId="1"/>
    <xf numFmtId="0" fontId="3" fillId="0" borderId="0" xfId="1" applyAlignment="1">
      <alignment wrapText="1"/>
    </xf>
    <xf numFmtId="0" fontId="3" fillId="0" borderId="0" xfId="1" applyAlignment="1">
      <alignment vertical="top" wrapText="1"/>
    </xf>
    <xf numFmtId="0" fontId="3" fillId="0" borderId="0" xfId="1" applyAlignment="1">
      <alignment vertical="center" wrapText="1"/>
    </xf>
    <xf numFmtId="0" fontId="3" fillId="0" borderId="0" xfId="1" applyAlignment="1">
      <alignment vertical="center"/>
    </xf>
    <xf numFmtId="0" fontId="3" fillId="0" borderId="0" xfId="1" applyFont="1"/>
    <xf numFmtId="3" fontId="0" fillId="2" borderId="0" xfId="1" applyNumberFormat="1" applyFont="1" applyFill="1" applyAlignment="1">
      <alignment horizontal="right"/>
    </xf>
    <xf numFmtId="3" fontId="0" fillId="0" borderId="0" xfId="1" applyNumberFormat="1" applyFont="1"/>
    <xf numFmtId="3" fontId="0" fillId="3" borderId="0" xfId="1" applyNumberFormat="1" applyFont="1" applyFill="1"/>
    <xf numFmtId="3" fontId="0" fillId="0" borderId="0" xfId="1" applyNumberFormat="1" applyFont="1" applyFill="1"/>
    <xf numFmtId="3" fontId="3" fillId="0" borderId="0" xfId="1" applyNumberFormat="1" applyFont="1"/>
    <xf numFmtId="3" fontId="0" fillId="2" borderId="0" xfId="1" applyNumberFormat="1" applyFont="1" applyFill="1"/>
    <xf numFmtId="0" fontId="3" fillId="0" borderId="0" xfId="1" applyFont="1" applyAlignment="1">
      <alignment horizontal="center" wrapText="1"/>
    </xf>
    <xf numFmtId="3" fontId="0" fillId="2" borderId="0" xfId="1" applyNumberFormat="1" applyFont="1" applyFill="1" applyAlignment="1">
      <alignment horizontal="right" vertical="top" wrapText="1"/>
    </xf>
    <xf numFmtId="3" fontId="0" fillId="0" borderId="0" xfId="1" applyNumberFormat="1" applyFont="1" applyAlignment="1">
      <alignment vertical="top" wrapText="1"/>
    </xf>
    <xf numFmtId="3" fontId="0" fillId="3" borderId="0" xfId="1" applyNumberFormat="1" applyFont="1" applyFill="1" applyAlignment="1">
      <alignment vertical="top" wrapText="1"/>
    </xf>
    <xf numFmtId="3" fontId="0" fillId="2" borderId="0" xfId="1" applyNumberFormat="1" applyFont="1" applyFill="1" applyAlignment="1">
      <alignment vertical="top" wrapText="1"/>
    </xf>
    <xf numFmtId="3" fontId="0" fillId="0" borderId="0" xfId="1" applyNumberFormat="1" applyFont="1" applyFill="1" applyAlignment="1">
      <alignment vertical="top" wrapText="1"/>
    </xf>
    <xf numFmtId="3" fontId="3" fillId="0" borderId="0" xfId="1" applyNumberFormat="1" applyFont="1" applyAlignment="1">
      <alignment horizontal="center" wrapText="1"/>
    </xf>
    <xf numFmtId="3" fontId="0" fillId="2" borderId="0" xfId="1" applyNumberFormat="1" applyFont="1" applyFill="1" applyAlignment="1">
      <alignment horizontal="center" wrapText="1"/>
    </xf>
    <xf numFmtId="3" fontId="0" fillId="3" borderId="0" xfId="1" applyNumberFormat="1" applyFont="1" applyFill="1" applyAlignment="1">
      <alignment horizontal="center" wrapText="1"/>
    </xf>
    <xf numFmtId="0" fontId="1" fillId="0" borderId="0" xfId="1" applyFont="1"/>
    <xf numFmtId="0" fontId="1" fillId="0" borderId="1" xfId="1" applyFont="1" applyBorder="1" applyAlignment="1">
      <alignment wrapText="1"/>
    </xf>
    <xf numFmtId="0" fontId="1" fillId="0" borderId="0" xfId="1" applyFont="1" applyAlignment="1">
      <alignment wrapText="1"/>
    </xf>
    <xf numFmtId="0" fontId="1" fillId="0" borderId="0" xfId="1" applyFont="1" applyAlignment="1">
      <alignment horizontal="center"/>
    </xf>
    <xf numFmtId="0" fontId="1" fillId="0" borderId="0" xfId="1" applyFont="1" applyBorder="1" applyAlignment="1">
      <alignment wrapText="1"/>
    </xf>
    <xf numFmtId="0" fontId="1" fillId="0" borderId="0" xfId="1" applyFont="1" applyBorder="1"/>
    <xf numFmtId="0" fontId="1" fillId="0" borderId="0" xfId="1" applyFont="1" applyBorder="1" applyAlignment="1">
      <alignment horizontal="center"/>
    </xf>
    <xf numFmtId="0" fontId="1" fillId="0" borderId="2" xfId="1" applyFont="1" applyBorder="1" applyAlignment="1">
      <alignment wrapText="1"/>
    </xf>
    <xf numFmtId="3" fontId="2" fillId="0" borderId="5" xfId="1" applyNumberFormat="1" applyFont="1" applyBorder="1" applyAlignment="1">
      <alignment horizontal="right"/>
    </xf>
    <xf numFmtId="0" fontId="2" fillId="0" borderId="6" xfId="1" applyFont="1" applyBorder="1" applyAlignment="1">
      <alignment horizontal="right"/>
    </xf>
    <xf numFmtId="0" fontId="1" fillId="0" borderId="7" xfId="1" applyFont="1" applyBorder="1" applyAlignment="1">
      <alignment wrapText="1"/>
    </xf>
    <xf numFmtId="3" fontId="1" fillId="0" borderId="10" xfId="1" applyNumberFormat="1" applyFont="1" applyBorder="1" applyAlignment="1">
      <alignment horizontal="right"/>
    </xf>
    <xf numFmtId="0" fontId="1" fillId="0" borderId="11" xfId="1" applyFont="1" applyBorder="1" applyAlignment="1">
      <alignment horizontal="right" wrapText="1"/>
    </xf>
    <xf numFmtId="164" fontId="2" fillId="0" borderId="10" xfId="1" applyNumberFormat="1" applyFont="1" applyBorder="1"/>
    <xf numFmtId="0" fontId="2" fillId="0" borderId="11" xfId="1" applyFont="1" applyBorder="1" applyAlignment="1">
      <alignment horizontal="right" wrapText="1"/>
    </xf>
    <xf numFmtId="164" fontId="1" fillId="0" borderId="10" xfId="1" applyNumberFormat="1" applyFont="1" applyBorder="1"/>
    <xf numFmtId="165" fontId="1" fillId="0" borderId="10" xfId="1" applyNumberFormat="1" applyFont="1" applyBorder="1"/>
    <xf numFmtId="0" fontId="1" fillId="0" borderId="10" xfId="1" applyFont="1" applyBorder="1"/>
    <xf numFmtId="0" fontId="1" fillId="0" borderId="11" xfId="1" applyFont="1" applyBorder="1"/>
    <xf numFmtId="40" fontId="4" fillId="0" borderId="10" xfId="1" applyNumberFormat="1" applyFont="1" applyBorder="1"/>
    <xf numFmtId="0" fontId="4" fillId="0" borderId="11" xfId="1" applyFont="1" applyBorder="1" applyAlignment="1">
      <alignment horizontal="left"/>
    </xf>
    <xf numFmtId="0" fontId="4" fillId="0" borderId="11" xfId="1" applyFont="1" applyBorder="1" applyAlignment="1">
      <alignment horizontal="right"/>
    </xf>
    <xf numFmtId="40" fontId="1" fillId="0" borderId="10" xfId="1" applyNumberFormat="1" applyFont="1" applyBorder="1"/>
    <xf numFmtId="0" fontId="1" fillId="0" borderId="11" xfId="1" applyFont="1" applyBorder="1" applyAlignment="1">
      <alignment horizontal="right"/>
    </xf>
    <xf numFmtId="0" fontId="4" fillId="0" borderId="11" xfId="1" applyFont="1" applyBorder="1"/>
    <xf numFmtId="38" fontId="4" fillId="0" borderId="10" xfId="1" applyNumberFormat="1" applyFont="1" applyBorder="1"/>
    <xf numFmtId="3" fontId="1" fillId="0" borderId="10" xfId="1" applyNumberFormat="1" applyFont="1" applyBorder="1"/>
    <xf numFmtId="38" fontId="1" fillId="0" borderId="10" xfId="1" applyNumberFormat="1" applyFont="1" applyBorder="1"/>
    <xf numFmtId="0" fontId="1" fillId="0" borderId="13" xfId="1" applyFont="1" applyBorder="1"/>
    <xf numFmtId="0" fontId="2" fillId="0" borderId="1" xfId="1" applyFont="1" applyBorder="1" applyAlignment="1">
      <alignment wrapText="1"/>
    </xf>
    <xf numFmtId="0" fontId="2" fillId="0" borderId="14" xfId="1" applyFont="1" applyBorder="1" applyAlignment="1">
      <alignment horizontal="center" wrapText="1"/>
    </xf>
    <xf numFmtId="0" fontId="2" fillId="5" borderId="18" xfId="1" applyFont="1" applyFill="1" applyBorder="1"/>
    <xf numFmtId="0" fontId="4" fillId="5" borderId="19" xfId="1" applyFont="1" applyFill="1" applyBorder="1" applyAlignment="1">
      <alignment horizontal="center"/>
    </xf>
    <xf numFmtId="0" fontId="1" fillId="6" borderId="20" xfId="1" applyFont="1" applyFill="1" applyBorder="1"/>
    <xf numFmtId="0" fontId="1" fillId="6" borderId="21" xfId="1" applyFont="1" applyFill="1" applyBorder="1"/>
    <xf numFmtId="0" fontId="1" fillId="6" borderId="1" xfId="1" applyFont="1" applyFill="1" applyBorder="1" applyAlignment="1">
      <alignment wrapText="1"/>
    </xf>
    <xf numFmtId="0" fontId="1" fillId="6" borderId="22" xfId="1" applyFont="1" applyFill="1" applyBorder="1" applyAlignment="1">
      <alignment wrapText="1"/>
    </xf>
    <xf numFmtId="0" fontId="1" fillId="5" borderId="20" xfId="1" applyFont="1" applyFill="1" applyBorder="1" applyAlignment="1">
      <alignment horizontal="center"/>
    </xf>
    <xf numFmtId="0" fontId="2" fillId="5" borderId="20" xfId="1" applyFont="1" applyFill="1" applyBorder="1" applyAlignment="1">
      <alignment horizontal="center"/>
    </xf>
    <xf numFmtId="0" fontId="1" fillId="6" borderId="23" xfId="1" applyFont="1" applyFill="1" applyBorder="1"/>
    <xf numFmtId="0" fontId="1" fillId="6" borderId="24" xfId="1" applyFont="1" applyFill="1" applyBorder="1"/>
    <xf numFmtId="0" fontId="1" fillId="6" borderId="13" xfId="1" applyFont="1" applyFill="1" applyBorder="1" applyAlignment="1">
      <alignment wrapText="1"/>
    </xf>
    <xf numFmtId="0" fontId="1" fillId="5" borderId="25" xfId="1" applyFont="1" applyFill="1" applyBorder="1"/>
    <xf numFmtId="0" fontId="1" fillId="5" borderId="26" xfId="1" applyFont="1" applyFill="1" applyBorder="1"/>
    <xf numFmtId="0" fontId="1" fillId="5" borderId="1" xfId="1" applyFont="1" applyFill="1" applyBorder="1" applyAlignment="1">
      <alignment wrapText="1"/>
    </xf>
    <xf numFmtId="0" fontId="1" fillId="5" borderId="27" xfId="1" applyFont="1" applyFill="1" applyBorder="1" applyAlignment="1">
      <alignment wrapText="1"/>
    </xf>
    <xf numFmtId="0" fontId="1" fillId="5" borderId="25" xfId="1" applyFont="1" applyFill="1" applyBorder="1" applyAlignment="1">
      <alignment wrapText="1"/>
    </xf>
    <xf numFmtId="0" fontId="1" fillId="5" borderId="25" xfId="1" applyFont="1" applyFill="1" applyBorder="1" applyAlignment="1">
      <alignment horizontal="center"/>
    </xf>
    <xf numFmtId="0" fontId="1" fillId="0" borderId="23" xfId="1" applyFont="1" applyBorder="1"/>
    <xf numFmtId="0" fontId="1" fillId="0" borderId="24" xfId="1" applyFont="1" applyBorder="1"/>
    <xf numFmtId="0" fontId="1" fillId="0" borderId="28" xfId="1" applyFont="1" applyBorder="1" applyAlignment="1">
      <alignment wrapText="1"/>
    </xf>
    <xf numFmtId="0" fontId="2" fillId="0" borderId="29" xfId="1" applyFont="1" applyBorder="1" applyAlignment="1">
      <alignment horizontal="left" wrapText="1"/>
    </xf>
    <xf numFmtId="3" fontId="2" fillId="7" borderId="30" xfId="1" applyNumberFormat="1" applyFont="1" applyFill="1" applyBorder="1" applyAlignment="1">
      <alignment horizontal="center"/>
    </xf>
    <xf numFmtId="0" fontId="1" fillId="5" borderId="30" xfId="1" applyFont="1" applyFill="1" applyBorder="1" applyAlignment="1">
      <alignment horizontal="center"/>
    </xf>
    <xf numFmtId="0" fontId="1" fillId="0" borderId="31" xfId="1" applyFont="1" applyBorder="1" applyAlignment="1">
      <alignment wrapText="1"/>
    </xf>
    <xf numFmtId="0" fontId="1" fillId="0" borderId="32" xfId="1" applyFont="1" applyBorder="1" applyAlignment="1">
      <alignment wrapText="1"/>
    </xf>
    <xf numFmtId="0" fontId="2" fillId="0" borderId="33" xfId="1" applyFont="1" applyBorder="1" applyAlignment="1">
      <alignment horizontal="left" wrapText="1"/>
    </xf>
    <xf numFmtId="3" fontId="2" fillId="7" borderId="34" xfId="1" applyNumberFormat="1" applyFont="1" applyFill="1" applyBorder="1" applyAlignment="1">
      <alignment horizontal="center"/>
    </xf>
    <xf numFmtId="0" fontId="1" fillId="5" borderId="34" xfId="1" applyFont="1" applyFill="1" applyBorder="1" applyAlignment="1">
      <alignment horizontal="center"/>
    </xf>
    <xf numFmtId="0" fontId="1" fillId="0" borderId="35" xfId="1" applyFont="1" applyBorder="1" applyAlignment="1">
      <alignment wrapText="1"/>
    </xf>
    <xf numFmtId="0" fontId="2" fillId="0" borderId="36" xfId="1" applyFont="1" applyBorder="1" applyAlignment="1">
      <alignment horizontal="left" wrapText="1"/>
    </xf>
    <xf numFmtId="0" fontId="4" fillId="7" borderId="37" xfId="1" applyFont="1" applyFill="1" applyBorder="1" applyAlignment="1" applyProtection="1">
      <alignment horizontal="center"/>
      <protection locked="0"/>
    </xf>
    <xf numFmtId="0" fontId="1" fillId="5" borderId="37" xfId="1" applyFont="1" applyFill="1" applyBorder="1" applyAlignment="1">
      <alignment horizontal="center"/>
    </xf>
    <xf numFmtId="0" fontId="1" fillId="0" borderId="38" xfId="1" applyFont="1" applyBorder="1" applyAlignment="1">
      <alignment wrapText="1"/>
    </xf>
    <xf numFmtId="0" fontId="2" fillId="5" borderId="36" xfId="1" applyFont="1" applyFill="1" applyBorder="1" applyAlignment="1">
      <alignment wrapText="1"/>
    </xf>
    <xf numFmtId="0" fontId="1" fillId="5" borderId="38" xfId="1" applyFont="1" applyFill="1" applyBorder="1" applyAlignment="1">
      <alignment vertical="top" wrapText="1"/>
    </xf>
    <xf numFmtId="167" fontId="1" fillId="0" borderId="28" xfId="1" applyNumberFormat="1" applyFont="1" applyBorder="1" applyAlignment="1"/>
    <xf numFmtId="0" fontId="1" fillId="0" borderId="30" xfId="1" applyFont="1" applyBorder="1" applyAlignment="1">
      <alignment horizontal="left" vertical="center"/>
    </xf>
    <xf numFmtId="0" fontId="1" fillId="0" borderId="31" xfId="1" applyFont="1" applyBorder="1" applyAlignment="1">
      <alignment horizontal="left" vertical="center"/>
    </xf>
    <xf numFmtId="0" fontId="4" fillId="7" borderId="34" xfId="1" applyFont="1" applyFill="1" applyBorder="1" applyAlignment="1" applyProtection="1">
      <alignment horizontal="center"/>
      <protection locked="0"/>
    </xf>
    <xf numFmtId="0" fontId="1" fillId="5" borderId="35" xfId="1" applyFont="1" applyFill="1" applyBorder="1"/>
    <xf numFmtId="167" fontId="1" fillId="0" borderId="32" xfId="1" applyNumberFormat="1" applyFont="1" applyBorder="1" applyAlignment="1"/>
    <xf numFmtId="0" fontId="1" fillId="0" borderId="37" xfId="1" applyFont="1" applyBorder="1" applyAlignment="1">
      <alignment horizontal="left" vertical="center"/>
    </xf>
    <xf numFmtId="0" fontId="1" fillId="0" borderId="38" xfId="1" applyFont="1" applyBorder="1" applyAlignment="1">
      <alignment horizontal="left" vertical="center"/>
    </xf>
    <xf numFmtId="0" fontId="1" fillId="5" borderId="38" xfId="1" applyFont="1" applyFill="1" applyBorder="1"/>
    <xf numFmtId="0" fontId="1" fillId="5" borderId="36" xfId="1" applyFont="1" applyFill="1" applyBorder="1" applyAlignment="1">
      <alignment wrapText="1"/>
    </xf>
    <xf numFmtId="38" fontId="1" fillId="5" borderId="39" xfId="1" applyNumberFormat="1" applyFont="1" applyFill="1" applyBorder="1" applyAlignment="1">
      <alignment horizontal="center" wrapText="1"/>
    </xf>
    <xf numFmtId="40" fontId="5" fillId="5" borderId="39" xfId="1" applyNumberFormat="1" applyFont="1" applyFill="1" applyBorder="1" applyAlignment="1">
      <alignment horizontal="center" wrapText="1"/>
    </xf>
    <xf numFmtId="0" fontId="4" fillId="7" borderId="37" xfId="1" applyFont="1" applyFill="1" applyBorder="1" applyAlignment="1">
      <alignment wrapText="1"/>
    </xf>
    <xf numFmtId="0" fontId="2" fillId="5" borderId="40" xfId="1" applyFont="1" applyFill="1" applyBorder="1" applyAlignment="1">
      <alignment horizontal="right" vertical="center" wrapText="1"/>
    </xf>
    <xf numFmtId="0" fontId="1" fillId="5" borderId="37" xfId="1" applyFont="1" applyFill="1" applyBorder="1" applyAlignment="1">
      <alignment horizontal="left" vertical="center"/>
    </xf>
    <xf numFmtId="0" fontId="1" fillId="5" borderId="38" xfId="1" applyFont="1" applyFill="1" applyBorder="1" applyAlignment="1">
      <alignment horizontal="left" vertical="center"/>
    </xf>
    <xf numFmtId="0" fontId="1" fillId="6" borderId="37" xfId="1" applyFont="1" applyFill="1" applyBorder="1" applyAlignment="1">
      <alignment horizontal="left" vertical="center"/>
    </xf>
    <xf numFmtId="0" fontId="1" fillId="6" borderId="38" xfId="1" applyFont="1" applyFill="1" applyBorder="1" applyAlignment="1">
      <alignment horizontal="left" vertical="center"/>
    </xf>
    <xf numFmtId="0" fontId="2" fillId="0" borderId="32" xfId="1" applyFont="1" applyFill="1" applyBorder="1" applyAlignment="1">
      <alignment wrapText="1"/>
    </xf>
    <xf numFmtId="0" fontId="2" fillId="0" borderId="36" xfId="1" applyFont="1" applyFill="1" applyBorder="1" applyAlignment="1">
      <alignment wrapText="1"/>
    </xf>
    <xf numFmtId="40" fontId="2" fillId="7" borderId="36" xfId="1" applyNumberFormat="1" applyFont="1" applyFill="1" applyBorder="1" applyAlignment="1">
      <alignment horizontal="center"/>
    </xf>
    <xf numFmtId="38" fontId="1" fillId="5" borderId="37" xfId="1" applyNumberFormat="1" applyFont="1" applyFill="1" applyBorder="1" applyAlignment="1">
      <alignment horizontal="center"/>
    </xf>
    <xf numFmtId="1" fontId="1" fillId="0" borderId="32" xfId="1" applyNumberFormat="1" applyFont="1" applyBorder="1" applyAlignment="1"/>
    <xf numFmtId="2" fontId="4" fillId="7" borderId="37" xfId="1" applyNumberFormat="1" applyFont="1" applyFill="1" applyBorder="1" applyAlignment="1" applyProtection="1">
      <alignment horizontal="center"/>
      <protection locked="0"/>
    </xf>
    <xf numFmtId="1" fontId="1" fillId="0" borderId="32" xfId="1" applyNumberFormat="1" applyFont="1" applyBorder="1" applyAlignment="1">
      <alignment horizontal="right"/>
    </xf>
    <xf numFmtId="3" fontId="2" fillId="7" borderId="37" xfId="1" applyNumberFormat="1" applyFont="1" applyFill="1" applyBorder="1" applyAlignment="1">
      <alignment horizontal="center" vertical="center"/>
    </xf>
    <xf numFmtId="0" fontId="2" fillId="5" borderId="41" xfId="1" applyFont="1" applyFill="1" applyBorder="1" applyAlignment="1">
      <alignment horizontal="center" vertical="center"/>
    </xf>
    <xf numFmtId="0" fontId="2" fillId="5" borderId="42" xfId="1" applyFont="1" applyFill="1" applyBorder="1" applyAlignment="1">
      <alignment horizontal="center" vertical="center"/>
    </xf>
    <xf numFmtId="0" fontId="2" fillId="5" borderId="43" xfId="1" applyFont="1" applyFill="1" applyBorder="1"/>
    <xf numFmtId="0" fontId="2" fillId="5" borderId="44" xfId="1" applyFont="1" applyFill="1" applyBorder="1" applyAlignment="1">
      <alignment wrapText="1"/>
    </xf>
    <xf numFmtId="0" fontId="2" fillId="5" borderId="45" xfId="1" applyFont="1" applyFill="1" applyBorder="1" applyAlignment="1">
      <alignment horizontal="center" wrapText="1"/>
    </xf>
    <xf numFmtId="0" fontId="2" fillId="5" borderId="46" xfId="1" applyFont="1" applyFill="1" applyBorder="1" applyAlignment="1">
      <alignment wrapText="1"/>
    </xf>
    <xf numFmtId="0" fontId="2" fillId="5" borderId="47" xfId="1" applyFont="1" applyFill="1" applyBorder="1" applyAlignment="1">
      <alignment wrapText="1"/>
    </xf>
    <xf numFmtId="0" fontId="1" fillId="0" borderId="49" xfId="1" applyFont="1" applyBorder="1" applyAlignment="1">
      <alignment horizontal="left" vertical="center"/>
    </xf>
    <xf numFmtId="0" fontId="1" fillId="0" borderId="50" xfId="1" applyFont="1" applyFill="1" applyBorder="1" applyAlignment="1">
      <alignment horizontal="left" vertical="center" wrapText="1"/>
    </xf>
    <xf numFmtId="0" fontId="4" fillId="0" borderId="0" xfId="1" applyFont="1"/>
    <xf numFmtId="0" fontId="1" fillId="0" borderId="54" xfId="1" applyFont="1" applyBorder="1" applyAlignment="1">
      <alignment horizontal="center"/>
    </xf>
    <xf numFmtId="0" fontId="1" fillId="0" borderId="55" xfId="1" applyFont="1" applyBorder="1" applyAlignment="1">
      <alignment horizontal="left" vertical="center"/>
    </xf>
    <xf numFmtId="0" fontId="4" fillId="0" borderId="1" xfId="1" applyFont="1" applyBorder="1"/>
    <xf numFmtId="0" fontId="4" fillId="0" borderId="56" xfId="1" applyFont="1" applyBorder="1"/>
    <xf numFmtId="0" fontId="4" fillId="5" borderId="57" xfId="1" applyFont="1" applyFill="1" applyBorder="1" applyAlignment="1">
      <alignment horizontal="center" wrapText="1"/>
    </xf>
    <xf numFmtId="0" fontId="4" fillId="5" borderId="58" xfId="1" applyFont="1" applyFill="1" applyBorder="1" applyAlignment="1">
      <alignment horizontal="center"/>
    </xf>
    <xf numFmtId="0" fontId="4" fillId="5" borderId="50" xfId="1" applyFont="1" applyFill="1" applyBorder="1" applyAlignment="1">
      <alignment horizontal="center"/>
    </xf>
    <xf numFmtId="0" fontId="2" fillId="0" borderId="1" xfId="1" applyFont="1" applyBorder="1" applyAlignment="1">
      <alignment horizontal="center" wrapText="1"/>
    </xf>
    <xf numFmtId="0" fontId="2" fillId="0" borderId="61" xfId="1" applyFont="1" applyBorder="1" applyAlignment="1">
      <alignment horizontal="center" wrapText="1"/>
    </xf>
    <xf numFmtId="0" fontId="1" fillId="0" borderId="28" xfId="1" applyFont="1" applyBorder="1" applyAlignment="1">
      <alignment horizontal="center"/>
    </xf>
    <xf numFmtId="0" fontId="1" fillId="0" borderId="31" xfId="1" applyFont="1" applyBorder="1" applyAlignment="1">
      <alignment horizontal="center"/>
    </xf>
    <xf numFmtId="0" fontId="1" fillId="0" borderId="56" xfId="1" applyFont="1" applyBorder="1" applyAlignment="1">
      <alignment horizontal="center"/>
    </xf>
    <xf numFmtId="0" fontId="1" fillId="0" borderId="50" xfId="1" applyFont="1" applyBorder="1" applyAlignment="1">
      <alignment horizontal="center"/>
    </xf>
    <xf numFmtId="0" fontId="1" fillId="0" borderId="32" xfId="1" applyFont="1" applyBorder="1" applyAlignment="1">
      <alignment horizontal="right"/>
    </xf>
    <xf numFmtId="0" fontId="5" fillId="0" borderId="48" xfId="1" applyFont="1" applyBorder="1" applyAlignment="1">
      <alignment horizontal="right"/>
    </xf>
    <xf numFmtId="166" fontId="0" fillId="0" borderId="37" xfId="0" applyNumberFormat="1" applyBorder="1" applyAlignment="1">
      <alignment horizontal="right" vertical="center"/>
    </xf>
    <xf numFmtId="0" fontId="0" fillId="0" borderId="62" xfId="0" applyNumberFormat="1" applyBorder="1" applyAlignment="1">
      <alignment horizontal="right" vertical="center"/>
    </xf>
    <xf numFmtId="0" fontId="0" fillId="0" borderId="37" xfId="0" applyBorder="1"/>
    <xf numFmtId="164" fontId="0" fillId="0" borderId="37" xfId="0" applyNumberFormat="1" applyBorder="1" applyAlignment="1">
      <alignment horizontal="right" vertical="center"/>
    </xf>
    <xf numFmtId="3" fontId="0" fillId="0" borderId="37" xfId="0" applyNumberFormat="1" applyBorder="1" applyAlignment="1">
      <alignment horizontal="right" vertical="center"/>
    </xf>
    <xf numFmtId="0" fontId="0" fillId="0" borderId="37" xfId="0" applyBorder="1" applyAlignment="1">
      <alignment horizontal="center" wrapText="1"/>
    </xf>
    <xf numFmtId="164" fontId="0" fillId="0" borderId="37" xfId="0" applyNumberFormat="1" applyBorder="1" applyAlignment="1">
      <alignment horizontal="center" wrapText="1"/>
    </xf>
    <xf numFmtId="164" fontId="0" fillId="0" borderId="62" xfId="0" applyNumberFormat="1" applyBorder="1" applyAlignment="1">
      <alignment horizontal="center" wrapText="1"/>
    </xf>
    <xf numFmtId="0" fontId="0" fillId="0" borderId="0" xfId="0" applyAlignment="1">
      <alignment horizontal="center" wrapText="1"/>
    </xf>
    <xf numFmtId="0" fontId="0" fillId="0" borderId="37" xfId="0" applyFill="1" applyBorder="1"/>
    <xf numFmtId="168" fontId="0" fillId="0" borderId="0" xfId="0" applyNumberFormat="1"/>
    <xf numFmtId="3" fontId="0" fillId="0" borderId="0" xfId="0" applyNumberFormat="1"/>
    <xf numFmtId="168" fontId="0" fillId="0" borderId="37" xfId="0" applyNumberFormat="1" applyBorder="1" applyAlignment="1">
      <alignment horizontal="center" wrapText="1"/>
    </xf>
    <xf numFmtId="3" fontId="0" fillId="0" borderId="37" xfId="0" applyNumberFormat="1" applyBorder="1" applyAlignment="1">
      <alignment horizontal="center" wrapText="1"/>
    </xf>
    <xf numFmtId="168" fontId="0" fillId="0" borderId="37" xfId="0" applyNumberFormat="1" applyBorder="1"/>
    <xf numFmtId="3" fontId="0" fillId="0" borderId="37" xfId="0" applyNumberFormat="1" applyBorder="1"/>
    <xf numFmtId="0" fontId="0" fillId="0" borderId="28" xfId="1" applyFont="1" applyBorder="1" applyAlignment="1">
      <alignment wrapText="1"/>
    </xf>
    <xf numFmtId="4" fontId="0" fillId="0" borderId="37" xfId="0" applyNumberFormat="1" applyBorder="1"/>
    <xf numFmtId="0" fontId="0" fillId="0" borderId="37" xfId="1" applyFont="1" applyBorder="1" applyAlignment="1">
      <alignment wrapText="1"/>
    </xf>
    <xf numFmtId="164" fontId="0" fillId="0" borderId="33" xfId="0" applyNumberFormat="1" applyBorder="1" applyAlignment="1">
      <alignment horizontal="right" vertical="center"/>
    </xf>
    <xf numFmtId="164" fontId="0" fillId="0" borderId="65" xfId="0" applyNumberFormat="1" applyBorder="1" applyAlignment="1">
      <alignment horizontal="right" vertical="center"/>
    </xf>
    <xf numFmtId="164" fontId="0" fillId="0" borderId="66" xfId="0" applyNumberFormat="1" applyBorder="1" applyAlignment="1">
      <alignment horizontal="right" vertical="center"/>
    </xf>
    <xf numFmtId="164" fontId="0" fillId="0" borderId="67" xfId="0" applyNumberFormat="1" applyBorder="1" applyAlignment="1">
      <alignment horizontal="right" vertical="center"/>
    </xf>
    <xf numFmtId="164" fontId="0" fillId="0" borderId="63" xfId="0" applyNumberFormat="1" applyBorder="1" applyAlignment="1">
      <alignment horizontal="right" vertical="center"/>
    </xf>
    <xf numFmtId="164" fontId="0" fillId="0" borderId="68" xfId="0" applyNumberFormat="1" applyBorder="1" applyAlignment="1">
      <alignment horizontal="right" vertical="center"/>
    </xf>
    <xf numFmtId="164" fontId="1" fillId="0" borderId="0" xfId="1" applyNumberFormat="1" applyFont="1"/>
    <xf numFmtId="169" fontId="3" fillId="0" borderId="0" xfId="1" applyNumberFormat="1" applyAlignment="1">
      <alignment wrapText="1"/>
    </xf>
    <xf numFmtId="169" fontId="3" fillId="0" borderId="0" xfId="1" applyNumberFormat="1"/>
    <xf numFmtId="169" fontId="3" fillId="4" borderId="0" xfId="1" applyNumberFormat="1" applyFill="1"/>
    <xf numFmtId="0" fontId="0" fillId="0" borderId="32" xfId="1" applyFont="1" applyBorder="1" applyAlignment="1">
      <alignment wrapText="1"/>
    </xf>
    <xf numFmtId="164" fontId="0" fillId="0" borderId="37" xfId="0" applyNumberFormat="1" applyBorder="1"/>
    <xf numFmtId="0" fontId="0" fillId="0" borderId="0" xfId="0" applyFill="1" applyBorder="1" applyAlignment="1"/>
    <xf numFmtId="0" fontId="0" fillId="0" borderId="0" xfId="0" applyBorder="1" applyAlignment="1"/>
    <xf numFmtId="164" fontId="0" fillId="0" borderId="0" xfId="0" applyNumberFormat="1" applyBorder="1"/>
    <xf numFmtId="0" fontId="0" fillId="0" borderId="0" xfId="0" applyBorder="1"/>
    <xf numFmtId="165" fontId="0" fillId="0" borderId="37" xfId="0" applyNumberFormat="1" applyBorder="1" applyAlignment="1">
      <alignment horizontal="right" vertical="center"/>
    </xf>
    <xf numFmtId="0" fontId="0" fillId="0" borderId="0" xfId="0" applyAlignment="1">
      <alignment wrapText="1"/>
    </xf>
    <xf numFmtId="0" fontId="0" fillId="0" borderId="0" xfId="0" applyAlignment="1">
      <alignment horizontal="left"/>
    </xf>
    <xf numFmtId="0" fontId="0" fillId="0" borderId="37" xfId="0" applyBorder="1" applyAlignment="1">
      <alignment horizontal="left"/>
    </xf>
    <xf numFmtId="0" fontId="0" fillId="0" borderId="37" xfId="0" applyBorder="1" applyAlignment="1">
      <alignment wrapText="1"/>
    </xf>
    <xf numFmtId="0" fontId="0" fillId="0" borderId="37" xfId="0" applyFill="1" applyBorder="1" applyAlignment="1">
      <alignment wrapText="1"/>
    </xf>
    <xf numFmtId="164" fontId="0" fillId="0" borderId="0" xfId="0" applyNumberFormat="1"/>
    <xf numFmtId="0" fontId="0" fillId="0" borderId="0" xfId="0" applyBorder="1" applyAlignment="1">
      <alignment horizontal="left"/>
    </xf>
    <xf numFmtId="4" fontId="0" fillId="0" borderId="70" xfId="0" applyNumberFormat="1" applyBorder="1"/>
    <xf numFmtId="164" fontId="0" fillId="0" borderId="70" xfId="0" applyNumberFormat="1" applyBorder="1"/>
    <xf numFmtId="164" fontId="0" fillId="7" borderId="37" xfId="0" applyNumberFormat="1" applyFill="1" applyBorder="1"/>
    <xf numFmtId="164" fontId="0" fillId="7" borderId="0" xfId="0" applyNumberFormat="1" applyFill="1"/>
    <xf numFmtId="4" fontId="0" fillId="7" borderId="37" xfId="0" applyNumberFormat="1" applyFill="1" applyBorder="1"/>
    <xf numFmtId="164" fontId="0" fillId="0" borderId="37" xfId="0" applyNumberFormat="1" applyFill="1" applyBorder="1"/>
    <xf numFmtId="164" fontId="0" fillId="7" borderId="37" xfId="0" applyNumberFormat="1" applyFill="1" applyBorder="1" applyAlignment="1">
      <alignment horizontal="right" vertical="center"/>
    </xf>
    <xf numFmtId="0" fontId="0" fillId="0" borderId="37" xfId="0" applyFill="1" applyBorder="1" applyAlignment="1">
      <alignment horizontal="center" wrapText="1"/>
    </xf>
    <xf numFmtId="164" fontId="0" fillId="0" borderId="37" xfId="0" applyNumberFormat="1" applyFill="1" applyBorder="1" applyAlignment="1">
      <alignment horizontal="center" wrapText="1"/>
    </xf>
    <xf numFmtId="164" fontId="0" fillId="0" borderId="62" xfId="0" applyNumberFormat="1" applyFill="1" applyBorder="1" applyAlignment="1">
      <alignment horizontal="center" wrapText="1"/>
    </xf>
    <xf numFmtId="164" fontId="0" fillId="0" borderId="37" xfId="0" applyNumberFormat="1" applyFill="1" applyBorder="1" applyAlignment="1">
      <alignment horizontal="right" vertical="center"/>
    </xf>
    <xf numFmtId="0" fontId="0" fillId="0" borderId="62" xfId="0" applyNumberFormat="1" applyFill="1" applyBorder="1" applyAlignment="1">
      <alignment horizontal="right" vertical="center"/>
    </xf>
    <xf numFmtId="166" fontId="0" fillId="0" borderId="37" xfId="0" applyNumberFormat="1" applyFill="1" applyBorder="1" applyAlignment="1">
      <alignment horizontal="right" vertical="center"/>
    </xf>
    <xf numFmtId="0" fontId="0" fillId="0" borderId="0" xfId="0" applyFill="1"/>
    <xf numFmtId="164" fontId="0" fillId="0" borderId="33" xfId="0" applyNumberFormat="1" applyFill="1" applyBorder="1" applyAlignment="1">
      <alignment horizontal="right" vertical="center"/>
    </xf>
    <xf numFmtId="164" fontId="0" fillId="0" borderId="65" xfId="0" applyNumberFormat="1" applyFill="1" applyBorder="1" applyAlignment="1">
      <alignment horizontal="right" vertical="center"/>
    </xf>
    <xf numFmtId="164" fontId="0" fillId="0" borderId="66" xfId="0" applyNumberFormat="1" applyFill="1" applyBorder="1" applyAlignment="1">
      <alignment horizontal="right" vertical="center"/>
    </xf>
    <xf numFmtId="164" fontId="0" fillId="0" borderId="67" xfId="0" applyNumberFormat="1" applyFill="1" applyBorder="1" applyAlignment="1">
      <alignment horizontal="right" vertical="center"/>
    </xf>
    <xf numFmtId="164" fontId="0" fillId="0" borderId="63" xfId="0" applyNumberFormat="1" applyFill="1" applyBorder="1" applyAlignment="1">
      <alignment horizontal="right" vertical="center"/>
    </xf>
    <xf numFmtId="164" fontId="0" fillId="0" borderId="68" xfId="0" applyNumberFormat="1" applyFill="1" applyBorder="1" applyAlignment="1">
      <alignment horizontal="right" vertical="center"/>
    </xf>
    <xf numFmtId="3" fontId="0" fillId="0" borderId="37" xfId="0" applyNumberFormat="1" applyFill="1" applyBorder="1" applyAlignment="1">
      <alignment horizontal="center" wrapText="1"/>
    </xf>
    <xf numFmtId="168" fontId="0" fillId="0" borderId="37" xfId="0" applyNumberFormat="1" applyFill="1" applyBorder="1" applyAlignment="1">
      <alignment horizontal="center" wrapText="1"/>
    </xf>
    <xf numFmtId="168" fontId="0" fillId="0" borderId="37" xfId="0" applyNumberFormat="1" applyFill="1" applyBorder="1"/>
    <xf numFmtId="3" fontId="0" fillId="0" borderId="37" xfId="0" applyNumberFormat="1" applyFill="1" applyBorder="1" applyAlignment="1">
      <alignment horizontal="right" vertical="center"/>
    </xf>
    <xf numFmtId="165" fontId="0" fillId="0" borderId="37" xfId="0" applyNumberFormat="1" applyFill="1" applyBorder="1" applyAlignment="1">
      <alignment horizontal="right" vertical="center"/>
    </xf>
    <xf numFmtId="4" fontId="0" fillId="0" borderId="37" xfId="0" applyNumberFormat="1" applyFill="1" applyBorder="1"/>
    <xf numFmtId="0" fontId="0" fillId="0" borderId="37" xfId="1" applyFont="1" applyFill="1" applyBorder="1" applyAlignment="1">
      <alignment wrapText="1"/>
    </xf>
    <xf numFmtId="3" fontId="0" fillId="0" borderId="37" xfId="0" applyNumberFormat="1" applyFill="1" applyBorder="1"/>
    <xf numFmtId="164" fontId="0" fillId="0" borderId="0" xfId="0" applyNumberFormat="1" applyFill="1" applyBorder="1"/>
    <xf numFmtId="0" fontId="0" fillId="0" borderId="0" xfId="0" applyFill="1" applyBorder="1"/>
    <xf numFmtId="0" fontId="0" fillId="8" borderId="37" xfId="0" applyFill="1" applyBorder="1"/>
    <xf numFmtId="164" fontId="0" fillId="8" borderId="37" xfId="0" applyNumberFormat="1" applyFill="1" applyBorder="1" applyAlignment="1">
      <alignment horizontal="right" vertical="center"/>
    </xf>
    <xf numFmtId="164" fontId="0" fillId="8" borderId="37" xfId="0" applyNumberFormat="1" applyFill="1" applyBorder="1"/>
    <xf numFmtId="4" fontId="0" fillId="8" borderId="37" xfId="0" applyNumberFormat="1" applyFill="1" applyBorder="1"/>
    <xf numFmtId="0" fontId="0" fillId="0" borderId="37" xfId="0" applyFill="1" applyBorder="1" applyAlignment="1">
      <alignment horizontal="left"/>
    </xf>
    <xf numFmtId="164" fontId="0" fillId="0" borderId="0" xfId="0" applyNumberFormat="1" applyFill="1"/>
    <xf numFmtId="0" fontId="0" fillId="0" borderId="0" xfId="0" applyFill="1" applyBorder="1" applyAlignment="1">
      <alignment horizontal="left"/>
    </xf>
    <xf numFmtId="4" fontId="0" fillId="0" borderId="70" xfId="0" applyNumberFormat="1" applyFill="1" applyBorder="1"/>
    <xf numFmtId="164" fontId="0" fillId="0" borderId="70" xfId="0" applyNumberFormat="1" applyFill="1" applyBorder="1"/>
    <xf numFmtId="0" fontId="0" fillId="0" borderId="0" xfId="0" applyFill="1" applyAlignment="1">
      <alignment horizontal="left"/>
    </xf>
    <xf numFmtId="164" fontId="0" fillId="8" borderId="0" xfId="0" applyNumberFormat="1" applyFill="1"/>
    <xf numFmtId="168" fontId="0" fillId="8" borderId="62" xfId="0" applyNumberFormat="1" applyFill="1" applyBorder="1"/>
    <xf numFmtId="168" fontId="0" fillId="7" borderId="62" xfId="0" applyNumberFormat="1" applyFill="1" applyBorder="1"/>
    <xf numFmtId="0" fontId="8" fillId="0" borderId="37" xfId="0" applyFont="1" applyFill="1" applyBorder="1" applyAlignment="1">
      <alignment horizontal="left" vertical="center"/>
    </xf>
    <xf numFmtId="0" fontId="8" fillId="0" borderId="37" xfId="0" applyFont="1" applyFill="1" applyBorder="1" applyAlignment="1">
      <alignment horizontal="center" vertical="center"/>
    </xf>
    <xf numFmtId="170" fontId="0" fillId="0" borderId="37" xfId="2" applyNumberFormat="1" applyFont="1" applyFill="1" applyBorder="1" applyAlignment="1">
      <alignment horizontal="left"/>
    </xf>
    <xf numFmtId="0" fontId="0" fillId="0" borderId="36" xfId="0" applyBorder="1" applyAlignment="1">
      <alignment horizontal="center"/>
    </xf>
    <xf numFmtId="0" fontId="0" fillId="0" borderId="69" xfId="0" applyBorder="1" applyAlignment="1">
      <alignment horizontal="center"/>
    </xf>
    <xf numFmtId="0" fontId="0" fillId="0" borderId="62" xfId="0" applyBorder="1" applyAlignment="1">
      <alignment horizontal="center"/>
    </xf>
    <xf numFmtId="4" fontId="0" fillId="0" borderId="36" xfId="0" applyNumberFormat="1"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36" xfId="0" applyBorder="1" applyAlignment="1">
      <alignment horizontal="left"/>
    </xf>
    <xf numFmtId="0" fontId="0" fillId="0" borderId="62" xfId="0" applyBorder="1" applyAlignment="1"/>
    <xf numFmtId="164" fontId="0" fillId="0" borderId="36" xfId="0" applyNumberFormat="1" applyBorder="1" applyAlignment="1">
      <alignment horizontal="center"/>
    </xf>
    <xf numFmtId="164" fontId="0" fillId="0" borderId="69" xfId="0" applyNumberFormat="1" applyBorder="1" applyAlignment="1">
      <alignment horizontal="center"/>
    </xf>
    <xf numFmtId="164" fontId="0" fillId="0" borderId="62" xfId="0" applyNumberFormat="1" applyBorder="1" applyAlignment="1">
      <alignment horizontal="center"/>
    </xf>
    <xf numFmtId="164" fontId="0" fillId="0" borderId="36" xfId="0" applyNumberFormat="1" applyBorder="1" applyAlignment="1">
      <alignment horizontal="right" wrapText="1"/>
    </xf>
    <xf numFmtId="0" fontId="0" fillId="0" borderId="69" xfId="0" applyBorder="1" applyAlignment="1">
      <alignment horizontal="right" wrapText="1"/>
    </xf>
    <xf numFmtId="0" fontId="0" fillId="0" borderId="62" xfId="0" applyBorder="1" applyAlignment="1">
      <alignment horizontal="right" wrapText="1"/>
    </xf>
    <xf numFmtId="164" fontId="0" fillId="7" borderId="36" xfId="0" applyNumberFormat="1" applyFill="1" applyBorder="1" applyAlignment="1">
      <alignment horizontal="right"/>
    </xf>
    <xf numFmtId="0" fontId="0" fillId="7" borderId="69" xfId="0" applyFill="1" applyBorder="1" applyAlignment="1">
      <alignment horizontal="right"/>
    </xf>
    <xf numFmtId="0" fontId="0" fillId="7" borderId="62" xfId="0" applyFill="1" applyBorder="1" applyAlignment="1">
      <alignment horizontal="right"/>
    </xf>
    <xf numFmtId="164" fontId="0" fillId="0" borderId="36" xfId="0" applyNumberFormat="1" applyFill="1" applyBorder="1" applyAlignment="1">
      <alignment horizontal="right" wrapText="1"/>
    </xf>
    <xf numFmtId="0" fontId="0" fillId="0" borderId="69" xfId="0" applyFill="1" applyBorder="1" applyAlignment="1">
      <alignment horizontal="right" wrapText="1"/>
    </xf>
    <xf numFmtId="0" fontId="0" fillId="0" borderId="62" xfId="0" applyFill="1" applyBorder="1" applyAlignment="1">
      <alignment horizontal="right" wrapText="1"/>
    </xf>
    <xf numFmtId="164" fontId="0" fillId="8" borderId="36" xfId="0" applyNumberFormat="1" applyFill="1" applyBorder="1" applyAlignment="1">
      <alignment horizontal="right"/>
    </xf>
    <xf numFmtId="0" fontId="0" fillId="8" borderId="69" xfId="0" applyFill="1" applyBorder="1" applyAlignment="1">
      <alignment horizontal="right"/>
    </xf>
    <xf numFmtId="0" fontId="0" fillId="8" borderId="62" xfId="0" applyFill="1" applyBorder="1" applyAlignment="1">
      <alignment horizontal="right"/>
    </xf>
    <xf numFmtId="0" fontId="0" fillId="0" borderId="0" xfId="0" applyAlignment="1">
      <alignment horizontal="left"/>
    </xf>
    <xf numFmtId="0" fontId="0" fillId="0" borderId="0" xfId="0" applyAlignment="1"/>
    <xf numFmtId="0" fontId="0" fillId="8" borderId="0" xfId="0" applyFill="1" applyAlignment="1">
      <alignment horizontal="center"/>
    </xf>
    <xf numFmtId="0" fontId="0" fillId="0" borderId="36" xfId="0" applyFill="1" applyBorder="1" applyAlignment="1">
      <alignment horizontal="center"/>
    </xf>
    <xf numFmtId="0" fontId="0" fillId="0" borderId="69" xfId="0" applyFill="1" applyBorder="1" applyAlignment="1">
      <alignment horizontal="center"/>
    </xf>
    <xf numFmtId="0" fontId="0" fillId="0" borderId="62" xfId="0" applyFill="1" applyBorder="1" applyAlignment="1">
      <alignment horizontal="center"/>
    </xf>
    <xf numFmtId="0" fontId="0" fillId="0" borderId="36" xfId="0" applyFill="1" applyBorder="1" applyAlignment="1">
      <alignment horizontal="left"/>
    </xf>
    <xf numFmtId="0" fontId="0" fillId="0" borderId="62" xfId="0" applyFill="1" applyBorder="1" applyAlignment="1"/>
    <xf numFmtId="4" fontId="0" fillId="0" borderId="36" xfId="0" applyNumberFormat="1" applyFill="1" applyBorder="1" applyAlignment="1">
      <alignment horizontal="center"/>
    </xf>
    <xf numFmtId="164" fontId="0" fillId="0" borderId="36" xfId="0" applyNumberFormat="1" applyFill="1" applyBorder="1" applyAlignment="1">
      <alignment horizontal="center"/>
    </xf>
    <xf numFmtId="164" fontId="0" fillId="0" borderId="69" xfId="0" applyNumberFormat="1" applyFill="1" applyBorder="1" applyAlignment="1">
      <alignment horizontal="center"/>
    </xf>
    <xf numFmtId="164" fontId="0" fillId="0" borderId="62" xfId="0" applyNumberFormat="1" applyFill="1" applyBorder="1" applyAlignment="1">
      <alignment horizontal="center"/>
    </xf>
    <xf numFmtId="164" fontId="0" fillId="0" borderId="36" xfId="0" applyNumberFormat="1" applyFill="1" applyBorder="1" applyAlignment="1">
      <alignment horizontal="right" vertical="center"/>
    </xf>
    <xf numFmtId="0" fontId="0" fillId="0" borderId="62" xfId="0" applyFill="1" applyBorder="1" applyAlignment="1">
      <alignment horizontal="right" vertical="center"/>
    </xf>
    <xf numFmtId="0" fontId="0" fillId="0" borderId="69" xfId="0" applyFill="1" applyBorder="1" applyAlignment="1">
      <alignment horizontal="right" vertical="center"/>
    </xf>
    <xf numFmtId="0" fontId="0" fillId="8" borderId="0" xfId="0" applyFill="1" applyAlignment="1"/>
    <xf numFmtId="0" fontId="0" fillId="0" borderId="63" xfId="0" applyBorder="1" applyAlignment="1">
      <alignment horizontal="center"/>
    </xf>
    <xf numFmtId="0" fontId="0" fillId="0" borderId="64" xfId="0" applyBorder="1" applyAlignment="1">
      <alignment horizontal="center"/>
    </xf>
    <xf numFmtId="164" fontId="0" fillId="0" borderId="36" xfId="0" applyNumberFormat="1" applyBorder="1" applyAlignment="1">
      <alignment horizontal="right" vertical="center"/>
    </xf>
    <xf numFmtId="0" fontId="0" fillId="0" borderId="69" xfId="0" applyBorder="1" applyAlignment="1">
      <alignment horizontal="right" vertical="center"/>
    </xf>
    <xf numFmtId="0" fontId="0" fillId="0" borderId="62" xfId="0" applyBorder="1" applyAlignment="1">
      <alignment horizontal="right" vertical="center"/>
    </xf>
    <xf numFmtId="0" fontId="0" fillId="8" borderId="63" xfId="0" applyFill="1" applyBorder="1" applyAlignment="1">
      <alignment horizontal="center"/>
    </xf>
    <xf numFmtId="0" fontId="0" fillId="8" borderId="64" xfId="0" applyFill="1" applyBorder="1" applyAlignment="1">
      <alignment horizontal="center"/>
    </xf>
    <xf numFmtId="0" fontId="0" fillId="0" borderId="36" xfId="0" applyBorder="1" applyAlignment="1"/>
    <xf numFmtId="0" fontId="0" fillId="0" borderId="69" xfId="0" applyBorder="1" applyAlignment="1"/>
    <xf numFmtId="0" fontId="0" fillId="0" borderId="36" xfId="0" applyFill="1" applyBorder="1" applyAlignment="1"/>
    <xf numFmtId="0" fontId="0" fillId="0" borderId="36" xfId="0" applyBorder="1" applyAlignment="1">
      <alignment horizontal="center" wrapText="1"/>
    </xf>
    <xf numFmtId="0" fontId="0" fillId="0" borderId="69" xfId="0" applyBorder="1" applyAlignment="1">
      <alignment horizontal="center" wrapText="1"/>
    </xf>
    <xf numFmtId="0" fontId="0" fillId="0" borderId="62" xfId="0" applyBorder="1" applyAlignment="1">
      <alignment horizontal="center" wrapText="1"/>
    </xf>
    <xf numFmtId="0" fontId="0" fillId="0" borderId="69" xfId="0" applyFill="1" applyBorder="1" applyAlignment="1"/>
    <xf numFmtId="0" fontId="0" fillId="0" borderId="36" xfId="0" applyFill="1" applyBorder="1" applyAlignment="1">
      <alignment horizontal="center" wrapText="1"/>
    </xf>
    <xf numFmtId="0" fontId="0" fillId="0" borderId="69" xfId="0" applyFill="1" applyBorder="1" applyAlignment="1">
      <alignment horizontal="center" wrapText="1"/>
    </xf>
    <xf numFmtId="0" fontId="0" fillId="0" borderId="62" xfId="0" applyFill="1" applyBorder="1" applyAlignment="1">
      <alignment horizontal="center" wrapText="1"/>
    </xf>
    <xf numFmtId="0" fontId="2" fillId="5" borderId="23" xfId="1" applyFont="1" applyFill="1" applyBorder="1" applyAlignment="1">
      <alignment horizontal="center"/>
    </xf>
    <xf numFmtId="0" fontId="1" fillId="5" borderId="23" xfId="1" applyFont="1" applyFill="1" applyBorder="1" applyAlignment="1">
      <alignment horizontal="center"/>
    </xf>
    <xf numFmtId="0" fontId="2" fillId="0" borderId="40" xfId="1" applyFont="1" applyBorder="1" applyAlignment="1">
      <alignment horizontal="center"/>
    </xf>
    <xf numFmtId="0" fontId="2" fillId="0" borderId="60" xfId="1" applyFont="1" applyBorder="1" applyAlignment="1">
      <alignment horizontal="center"/>
    </xf>
    <xf numFmtId="0" fontId="2" fillId="0" borderId="59" xfId="1" applyFont="1" applyBorder="1" applyAlignment="1">
      <alignment horizontal="center"/>
    </xf>
    <xf numFmtId="0" fontId="2" fillId="5" borderId="53" xfId="1" applyFont="1" applyFill="1" applyBorder="1" applyAlignment="1">
      <alignment horizontal="center"/>
    </xf>
    <xf numFmtId="0" fontId="1" fillId="0" borderId="52" xfId="1" applyFont="1" applyBorder="1" applyAlignment="1">
      <alignment horizontal="center"/>
    </xf>
    <xf numFmtId="0" fontId="1" fillId="0" borderId="51" xfId="1" applyFont="1" applyBorder="1" applyAlignment="1">
      <alignment horizontal="center"/>
    </xf>
    <xf numFmtId="0" fontId="2" fillId="5" borderId="17" xfId="1" applyFont="1" applyFill="1" applyBorder="1" applyAlignment="1">
      <alignment horizontal="center" wrapText="1"/>
    </xf>
    <xf numFmtId="0" fontId="1" fillId="0" borderId="16" xfId="1" applyFont="1" applyBorder="1" applyAlignment="1">
      <alignment horizontal="center" wrapText="1"/>
    </xf>
    <xf numFmtId="0" fontId="1" fillId="0" borderId="15" xfId="1" applyFont="1" applyBorder="1" applyAlignment="1">
      <alignment horizontal="center" wrapText="1"/>
    </xf>
    <xf numFmtId="0" fontId="1" fillId="0" borderId="9" xfId="1" applyFont="1" applyBorder="1" applyAlignment="1">
      <alignment wrapText="1"/>
    </xf>
    <xf numFmtId="0" fontId="1" fillId="0" borderId="8" xfId="1" applyFont="1" applyBorder="1" applyAlignment="1">
      <alignment wrapText="1"/>
    </xf>
    <xf numFmtId="0" fontId="1" fillId="0" borderId="12" xfId="1" applyFont="1" applyBorder="1" applyAlignment="1">
      <alignment wrapText="1"/>
    </xf>
    <xf numFmtId="0" fontId="1" fillId="5" borderId="9" xfId="1" applyFont="1" applyFill="1" applyBorder="1" applyAlignment="1">
      <alignment wrapText="1"/>
    </xf>
    <xf numFmtId="0" fontId="1" fillId="0" borderId="9" xfId="1" applyFont="1" applyBorder="1" applyAlignment="1">
      <alignment horizontal="center" wrapText="1"/>
    </xf>
    <xf numFmtId="0" fontId="2" fillId="5" borderId="9" xfId="1" applyFont="1" applyFill="1" applyBorder="1" applyAlignment="1">
      <alignment wrapText="1"/>
    </xf>
    <xf numFmtId="0" fontId="1" fillId="0" borderId="4" xfId="1" applyFont="1" applyBorder="1" applyAlignment="1">
      <alignment horizontal="center"/>
    </xf>
    <xf numFmtId="0" fontId="1" fillId="0" borderId="3" xfId="1" applyFont="1" applyBorder="1" applyAlignment="1"/>
    <xf numFmtId="0" fontId="1" fillId="0" borderId="9" xfId="1" applyFont="1" applyBorder="1" applyAlignment="1">
      <alignment horizontal="left" wrapText="1"/>
    </xf>
    <xf numFmtId="44" fontId="0" fillId="0" borderId="0" xfId="2" applyFont="1"/>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303893</xdr:colOff>
      <xdr:row>7</xdr:row>
      <xdr:rowOff>216807</xdr:rowOff>
    </xdr:from>
    <xdr:ext cx="5168900" cy="4708070"/>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3893" y="4425950"/>
          <a:ext cx="5168900" cy="4708070"/>
        </a:xfrm>
        <a:prstGeom prst="rect">
          <a:avLst/>
        </a:prstGeom>
        <a:noFill/>
        <a:ln w="1">
          <a:noFill/>
          <a:miter lim="800000"/>
          <a:headEnd/>
          <a:tailEnd type="none" w="med" len="med"/>
        </a:ln>
        <a:effectLst/>
      </xdr:spPr>
    </xdr:pic>
    <xdr:clientData/>
  </xdr:oneCellAnchor>
  <xdr:twoCellAnchor>
    <xdr:from>
      <xdr:col>0</xdr:col>
      <xdr:colOff>1054100</xdr:colOff>
      <xdr:row>7</xdr:row>
      <xdr:rowOff>2800350</xdr:rowOff>
    </xdr:from>
    <xdr:to>
      <xdr:col>0</xdr:col>
      <xdr:colOff>1670050</xdr:colOff>
      <xdr:row>7</xdr:row>
      <xdr:rowOff>3079750</xdr:rowOff>
    </xdr:to>
    <xdr:sp macro="" textlink="">
      <xdr:nvSpPr>
        <xdr:cNvPr id="3" name="Right Arrow 2"/>
        <xdr:cNvSpPr/>
      </xdr:nvSpPr>
      <xdr:spPr>
        <a:xfrm>
          <a:off x="660400" y="1181100"/>
          <a:ext cx="0" cy="0"/>
        </a:xfrm>
        <a:prstGeom prst="rightArrow">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opLeftCell="A2" zoomScale="70" zoomScaleNormal="70" workbookViewId="0">
      <selection activeCell="A6" sqref="A6"/>
    </sheetView>
  </sheetViews>
  <sheetFormatPr defaultColWidth="8.7109375" defaultRowHeight="15.75" x14ac:dyDescent="0.25"/>
  <cols>
    <col min="1" max="1" width="82.140625" style="3" customWidth="1"/>
    <col min="2" max="16384" width="8.7109375" style="3"/>
  </cols>
  <sheetData>
    <row r="2" spans="1:1" ht="169.5" customHeight="1" x14ac:dyDescent="0.25">
      <c r="A2" s="5" t="s">
        <v>239</v>
      </c>
    </row>
    <row r="3" spans="1:1" ht="50.1" customHeight="1" x14ac:dyDescent="0.25">
      <c r="A3" s="5" t="s">
        <v>241</v>
      </c>
    </row>
    <row r="4" spans="1:1" ht="43.15" customHeight="1" x14ac:dyDescent="0.25">
      <c r="A4" s="5" t="s">
        <v>238</v>
      </c>
    </row>
    <row r="5" spans="1:1" ht="52.5" customHeight="1" x14ac:dyDescent="0.25">
      <c r="A5" s="5" t="s">
        <v>240</v>
      </c>
    </row>
    <row r="6" spans="1:1" ht="22.15" customHeight="1" x14ac:dyDescent="0.25">
      <c r="A6" s="5" t="s">
        <v>304</v>
      </c>
    </row>
    <row r="7" spans="1:1" ht="43.15" customHeight="1" x14ac:dyDescent="0.25">
      <c r="A7" s="5" t="s">
        <v>303</v>
      </c>
    </row>
    <row r="8" spans="1:1" ht="401.1" customHeight="1" x14ac:dyDescent="0.25"/>
    <row r="9" spans="1:1" ht="57.6" customHeight="1" x14ac:dyDescent="0.25"/>
    <row r="10" spans="1:1" ht="41.1" customHeight="1" x14ac:dyDescent="0.25"/>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zoomScale="60" zoomScaleNormal="60" workbookViewId="0">
      <pane xSplit="5" ySplit="1" topLeftCell="F219" activePane="bottomRight" state="frozen"/>
      <selection pane="topRight" activeCell="F1" sqref="F1"/>
      <selection pane="bottomLeft" activeCell="A2" sqref="A2"/>
      <selection pane="bottomRight" activeCell="I199" sqref="I199"/>
    </sheetView>
  </sheetViews>
  <sheetFormatPr defaultColWidth="8.7109375" defaultRowHeight="15.75" x14ac:dyDescent="0.25"/>
  <cols>
    <col min="1" max="6" width="8.7109375" style="3"/>
    <col min="7" max="7" width="11.28515625" style="3" customWidth="1"/>
    <col min="8" max="8" width="10.5703125" style="168" customWidth="1"/>
    <col min="9" max="9" width="11" style="168" customWidth="1"/>
    <col min="10" max="10" width="11.140625" style="3" customWidth="1"/>
    <col min="11" max="13" width="8.7109375" style="3"/>
    <col min="14" max="14" width="12" style="3" customWidth="1"/>
    <col min="15" max="21" width="8.7109375" style="3"/>
    <col min="22" max="22" width="11.140625" style="3" customWidth="1"/>
    <col min="23" max="16384" width="8.7109375" style="3"/>
  </cols>
  <sheetData>
    <row r="1" spans="1:25" s="4" customFormat="1" ht="78.75" x14ac:dyDescent="0.25">
      <c r="A1" s="4" t="s">
        <v>58</v>
      </c>
      <c r="B1" s="4" t="s">
        <v>57</v>
      </c>
      <c r="C1" s="4" t="s">
        <v>56</v>
      </c>
      <c r="D1" s="4" t="s">
        <v>55</v>
      </c>
      <c r="E1" s="4" t="s">
        <v>65</v>
      </c>
      <c r="F1" s="4" t="s">
        <v>54</v>
      </c>
      <c r="G1" s="4" t="s">
        <v>64</v>
      </c>
      <c r="H1" s="167" t="s">
        <v>63</v>
      </c>
      <c r="I1" s="167" t="s">
        <v>62</v>
      </c>
      <c r="J1" s="4" t="s">
        <v>51</v>
      </c>
      <c r="K1" s="4" t="s">
        <v>50</v>
      </c>
      <c r="L1" s="4" t="s">
        <v>49</v>
      </c>
      <c r="M1" s="4" t="s">
        <v>48</v>
      </c>
      <c r="N1" s="4" t="s">
        <v>46</v>
      </c>
      <c r="O1" s="4" t="s">
        <v>38</v>
      </c>
      <c r="P1" s="4" t="s">
        <v>30</v>
      </c>
      <c r="Q1" s="4" t="s">
        <v>29</v>
      </c>
      <c r="R1" s="4" t="s">
        <v>61</v>
      </c>
      <c r="S1" s="4" t="s">
        <v>37</v>
      </c>
      <c r="T1" s="4" t="s">
        <v>36</v>
      </c>
      <c r="U1" s="4" t="s">
        <v>35</v>
      </c>
      <c r="V1" s="4" t="s">
        <v>34</v>
      </c>
      <c r="W1" s="4" t="s">
        <v>33</v>
      </c>
      <c r="X1" s="4" t="s">
        <v>32</v>
      </c>
      <c r="Y1" s="4" t="s">
        <v>31</v>
      </c>
    </row>
    <row r="2" spans="1:25" x14ac:dyDescent="0.25">
      <c r="A2" s="3" t="s">
        <v>28</v>
      </c>
      <c r="B2" s="3">
        <v>6641</v>
      </c>
      <c r="C2" s="3">
        <v>1</v>
      </c>
      <c r="D2" s="3">
        <v>2009</v>
      </c>
      <c r="E2" s="3">
        <v>1</v>
      </c>
      <c r="F2" s="3">
        <v>1112.1510000000001</v>
      </c>
      <c r="G2" s="3">
        <f t="shared" ref="G2:G65" si="0">IF(F2="","",(F2*2000)/L2)</f>
        <v>0.46047360331842585</v>
      </c>
      <c r="J2" s="3">
        <v>0.23519999999999999</v>
      </c>
      <c r="K2" s="3">
        <v>571.803</v>
      </c>
      <c r="L2" s="3">
        <v>4830465.8159999996</v>
      </c>
      <c r="M2" s="3">
        <v>687.09</v>
      </c>
      <c r="N2" s="3">
        <v>490490</v>
      </c>
      <c r="O2" s="3" t="s">
        <v>28</v>
      </c>
      <c r="P2" s="3">
        <v>35.673299999999998</v>
      </c>
      <c r="Q2" s="3">
        <v>-91.408299999999997</v>
      </c>
      <c r="R2" s="3" t="s">
        <v>60</v>
      </c>
      <c r="S2" s="3" t="s">
        <v>25</v>
      </c>
      <c r="T2" s="3" t="s">
        <v>24</v>
      </c>
      <c r="U2" s="3" t="s">
        <v>23</v>
      </c>
      <c r="V2" s="3" t="s">
        <v>22</v>
      </c>
      <c r="X2" s="3" t="s">
        <v>21</v>
      </c>
      <c r="Y2" s="3" t="s">
        <v>20</v>
      </c>
    </row>
    <row r="3" spans="1:25" x14ac:dyDescent="0.25">
      <c r="A3" s="3" t="s">
        <v>28</v>
      </c>
      <c r="B3" s="3">
        <v>6641</v>
      </c>
      <c r="C3" s="3">
        <v>1</v>
      </c>
      <c r="D3" s="3">
        <v>2009</v>
      </c>
      <c r="E3" s="3">
        <v>2</v>
      </c>
      <c r="F3" s="3">
        <v>877.947</v>
      </c>
      <c r="G3" s="3">
        <f t="shared" si="0"/>
        <v>0.43074768494424975</v>
      </c>
      <c r="J3" s="3">
        <v>0.2361</v>
      </c>
      <c r="K3" s="3">
        <v>486.43099999999998</v>
      </c>
      <c r="L3" s="3">
        <v>4076386.389</v>
      </c>
      <c r="M3" s="3">
        <v>600.29999999999995</v>
      </c>
      <c r="N3" s="3">
        <v>402233</v>
      </c>
      <c r="O3" s="3" t="s">
        <v>28</v>
      </c>
      <c r="P3" s="3">
        <v>35.673299999999998</v>
      </c>
      <c r="Q3" s="3">
        <v>-91.408299999999997</v>
      </c>
      <c r="R3" s="3" t="s">
        <v>60</v>
      </c>
      <c r="S3" s="3" t="s">
        <v>25</v>
      </c>
      <c r="T3" s="3" t="s">
        <v>24</v>
      </c>
      <c r="U3" s="3" t="s">
        <v>23</v>
      </c>
      <c r="V3" s="3" t="s">
        <v>22</v>
      </c>
      <c r="X3" s="3" t="s">
        <v>21</v>
      </c>
      <c r="Y3" s="3" t="s">
        <v>20</v>
      </c>
    </row>
    <row r="4" spans="1:25" x14ac:dyDescent="0.25">
      <c r="A4" s="3" t="s">
        <v>28</v>
      </c>
      <c r="B4" s="3">
        <v>6641</v>
      </c>
      <c r="C4" s="3">
        <v>1</v>
      </c>
      <c r="D4" s="3">
        <v>2009</v>
      </c>
      <c r="E4" s="3">
        <v>3</v>
      </c>
      <c r="G4" s="3" t="str">
        <f t="shared" si="0"/>
        <v/>
      </c>
      <c r="M4" s="3">
        <v>0</v>
      </c>
      <c r="O4" s="3" t="s">
        <v>28</v>
      </c>
      <c r="P4" s="3">
        <v>35.673299999999998</v>
      </c>
      <c r="Q4" s="3">
        <v>-91.408299999999997</v>
      </c>
      <c r="R4" s="3" t="s">
        <v>60</v>
      </c>
      <c r="S4" s="3" t="s">
        <v>25</v>
      </c>
      <c r="T4" s="3" t="s">
        <v>24</v>
      </c>
      <c r="U4" s="3" t="s">
        <v>23</v>
      </c>
      <c r="V4" s="3" t="s">
        <v>22</v>
      </c>
      <c r="X4" s="3" t="s">
        <v>21</v>
      </c>
      <c r="Y4" s="3" t="s">
        <v>20</v>
      </c>
    </row>
    <row r="5" spans="1:25" x14ac:dyDescent="0.25">
      <c r="A5" s="3" t="s">
        <v>28</v>
      </c>
      <c r="B5" s="3">
        <v>6641</v>
      </c>
      <c r="C5" s="3">
        <v>1</v>
      </c>
      <c r="D5" s="3">
        <v>2009</v>
      </c>
      <c r="E5" s="3">
        <v>4</v>
      </c>
      <c r="F5" s="3">
        <v>449.00599999999997</v>
      </c>
      <c r="G5" s="3">
        <f t="shared" si="0"/>
        <v>0.45493966061902147</v>
      </c>
      <c r="J5" s="3">
        <v>0.27639999999999998</v>
      </c>
      <c r="K5" s="3">
        <v>282.57600000000002</v>
      </c>
      <c r="L5" s="3">
        <v>1973914.5160000001</v>
      </c>
      <c r="M5" s="3">
        <v>338.89</v>
      </c>
      <c r="N5" s="3">
        <v>194663</v>
      </c>
      <c r="O5" s="3" t="s">
        <v>28</v>
      </c>
      <c r="P5" s="3">
        <v>35.673299999999998</v>
      </c>
      <c r="Q5" s="3">
        <v>-91.408299999999997</v>
      </c>
      <c r="R5" s="3" t="s">
        <v>60</v>
      </c>
      <c r="S5" s="3" t="s">
        <v>25</v>
      </c>
      <c r="T5" s="3" t="s">
        <v>24</v>
      </c>
      <c r="U5" s="3" t="s">
        <v>23</v>
      </c>
      <c r="V5" s="3" t="s">
        <v>22</v>
      </c>
      <c r="X5" s="3" t="s">
        <v>21</v>
      </c>
      <c r="Y5" s="3" t="s">
        <v>20</v>
      </c>
    </row>
    <row r="6" spans="1:25" x14ac:dyDescent="0.25">
      <c r="A6" s="3" t="s">
        <v>28</v>
      </c>
      <c r="B6" s="3">
        <v>6641</v>
      </c>
      <c r="C6" s="3">
        <v>1</v>
      </c>
      <c r="D6" s="3">
        <v>2009</v>
      </c>
      <c r="E6" s="3">
        <v>5</v>
      </c>
      <c r="F6" s="3">
        <v>1260.3040000000001</v>
      </c>
      <c r="G6" s="3">
        <f t="shared" si="0"/>
        <v>0.49512931615356504</v>
      </c>
      <c r="J6" s="3">
        <v>0.2883</v>
      </c>
      <c r="K6" s="3">
        <v>737.93499999999995</v>
      </c>
      <c r="L6" s="3">
        <v>5090807.4270000001</v>
      </c>
      <c r="M6" s="3">
        <v>708.13</v>
      </c>
      <c r="N6" s="3">
        <v>514443</v>
      </c>
      <c r="O6" s="3" t="s">
        <v>28</v>
      </c>
      <c r="P6" s="3">
        <v>35.673299999999998</v>
      </c>
      <c r="Q6" s="3">
        <v>-91.408299999999997</v>
      </c>
      <c r="R6" s="3" t="s">
        <v>60</v>
      </c>
      <c r="S6" s="3" t="s">
        <v>25</v>
      </c>
      <c r="T6" s="3" t="s">
        <v>24</v>
      </c>
      <c r="U6" s="3" t="s">
        <v>23</v>
      </c>
      <c r="V6" s="3" t="s">
        <v>22</v>
      </c>
      <c r="X6" s="3" t="s">
        <v>21</v>
      </c>
      <c r="Y6" s="3" t="s">
        <v>20</v>
      </c>
    </row>
    <row r="7" spans="1:25" x14ac:dyDescent="0.25">
      <c r="A7" s="3" t="s">
        <v>28</v>
      </c>
      <c r="B7" s="3">
        <v>6641</v>
      </c>
      <c r="C7" s="3">
        <v>1</v>
      </c>
      <c r="D7" s="3">
        <v>2009</v>
      </c>
      <c r="E7" s="3">
        <v>6</v>
      </c>
      <c r="F7" s="3">
        <v>1210.71</v>
      </c>
      <c r="G7" s="3">
        <f t="shared" si="0"/>
        <v>0.45635944410880652</v>
      </c>
      <c r="J7" s="3">
        <v>0.29189999999999999</v>
      </c>
      <c r="K7" s="3">
        <v>767.09400000000005</v>
      </c>
      <c r="L7" s="3">
        <v>5305949.1399999997</v>
      </c>
      <c r="M7" s="3">
        <v>719.12</v>
      </c>
      <c r="N7" s="3">
        <v>545367</v>
      </c>
      <c r="O7" s="3" t="s">
        <v>28</v>
      </c>
      <c r="P7" s="3">
        <v>35.673299999999998</v>
      </c>
      <c r="Q7" s="3">
        <v>-91.408299999999997</v>
      </c>
      <c r="R7" s="3" t="s">
        <v>60</v>
      </c>
      <c r="S7" s="3" t="s">
        <v>25</v>
      </c>
      <c r="T7" s="3" t="s">
        <v>24</v>
      </c>
      <c r="U7" s="3" t="s">
        <v>23</v>
      </c>
      <c r="V7" s="3" t="s">
        <v>22</v>
      </c>
      <c r="X7" s="3" t="s">
        <v>21</v>
      </c>
      <c r="Y7" s="3" t="s">
        <v>20</v>
      </c>
    </row>
    <row r="8" spans="1:25" x14ac:dyDescent="0.25">
      <c r="A8" s="3" t="s">
        <v>28</v>
      </c>
      <c r="B8" s="3">
        <v>6641</v>
      </c>
      <c r="C8" s="3">
        <v>1</v>
      </c>
      <c r="D8" s="3">
        <v>2009</v>
      </c>
      <c r="E8" s="3">
        <v>7</v>
      </c>
      <c r="F8" s="3">
        <v>1290.2339999999999</v>
      </c>
      <c r="G8" s="3">
        <f t="shared" si="0"/>
        <v>0.46208640985135679</v>
      </c>
      <c r="J8" s="3">
        <v>0.27939999999999998</v>
      </c>
      <c r="K8" s="3">
        <v>776.89300000000003</v>
      </c>
      <c r="L8" s="3">
        <v>5584384.0999999996</v>
      </c>
      <c r="M8" s="3">
        <v>744</v>
      </c>
      <c r="N8" s="3">
        <v>569295</v>
      </c>
      <c r="O8" s="3" t="s">
        <v>28</v>
      </c>
      <c r="P8" s="3">
        <v>35.673299999999998</v>
      </c>
      <c r="Q8" s="3">
        <v>-91.408299999999997</v>
      </c>
      <c r="R8" s="3" t="s">
        <v>60</v>
      </c>
      <c r="S8" s="3" t="s">
        <v>25</v>
      </c>
      <c r="T8" s="3" t="s">
        <v>24</v>
      </c>
      <c r="U8" s="3" t="s">
        <v>23</v>
      </c>
      <c r="V8" s="3" t="s">
        <v>22</v>
      </c>
      <c r="X8" s="3" t="s">
        <v>21</v>
      </c>
      <c r="Y8" s="3" t="s">
        <v>20</v>
      </c>
    </row>
    <row r="9" spans="1:25" x14ac:dyDescent="0.25">
      <c r="A9" s="3" t="s">
        <v>28</v>
      </c>
      <c r="B9" s="3">
        <v>6641</v>
      </c>
      <c r="C9" s="3">
        <v>1</v>
      </c>
      <c r="D9" s="3">
        <v>2009</v>
      </c>
      <c r="E9" s="3">
        <v>8</v>
      </c>
      <c r="F9" s="3">
        <v>1043.6880000000001</v>
      </c>
      <c r="G9" s="3">
        <f t="shared" si="0"/>
        <v>0.45414771598911929</v>
      </c>
      <c r="J9" s="3">
        <v>0.23280000000000001</v>
      </c>
      <c r="K9" s="3">
        <v>567.03899999999999</v>
      </c>
      <c r="L9" s="3">
        <v>4596249.0319999997</v>
      </c>
      <c r="M9" s="3">
        <v>632.02</v>
      </c>
      <c r="N9" s="3">
        <v>457649</v>
      </c>
      <c r="O9" s="3" t="s">
        <v>28</v>
      </c>
      <c r="P9" s="3">
        <v>35.673299999999998</v>
      </c>
      <c r="Q9" s="3">
        <v>-91.408299999999997</v>
      </c>
      <c r="R9" s="3" t="s">
        <v>60</v>
      </c>
      <c r="S9" s="3" t="s">
        <v>25</v>
      </c>
      <c r="T9" s="3" t="s">
        <v>24</v>
      </c>
      <c r="U9" s="3" t="s">
        <v>23</v>
      </c>
      <c r="V9" s="3" t="s">
        <v>22</v>
      </c>
      <c r="X9" s="3" t="s">
        <v>21</v>
      </c>
      <c r="Y9" s="3" t="s">
        <v>20</v>
      </c>
    </row>
    <row r="10" spans="1:25" x14ac:dyDescent="0.25">
      <c r="A10" s="3" t="s">
        <v>28</v>
      </c>
      <c r="B10" s="3">
        <v>6641</v>
      </c>
      <c r="C10" s="3">
        <v>1</v>
      </c>
      <c r="D10" s="3">
        <v>2009</v>
      </c>
      <c r="E10" s="3">
        <v>9</v>
      </c>
      <c r="F10" s="3">
        <v>1246.367</v>
      </c>
      <c r="G10" s="3">
        <f t="shared" si="0"/>
        <v>0.44721489318129037</v>
      </c>
      <c r="J10" s="3">
        <v>0.2097</v>
      </c>
      <c r="K10" s="3">
        <v>581.38</v>
      </c>
      <c r="L10" s="3">
        <v>5573906.5</v>
      </c>
      <c r="M10" s="3">
        <v>720</v>
      </c>
      <c r="N10" s="3">
        <v>567102</v>
      </c>
      <c r="O10" s="3" t="s">
        <v>28</v>
      </c>
      <c r="P10" s="3">
        <v>35.673299999999998</v>
      </c>
      <c r="Q10" s="3">
        <v>-91.408299999999997</v>
      </c>
      <c r="R10" s="3" t="s">
        <v>60</v>
      </c>
      <c r="S10" s="3" t="s">
        <v>25</v>
      </c>
      <c r="T10" s="3" t="s">
        <v>24</v>
      </c>
      <c r="U10" s="3" t="s">
        <v>23</v>
      </c>
      <c r="V10" s="3" t="s">
        <v>22</v>
      </c>
      <c r="X10" s="3" t="s">
        <v>21</v>
      </c>
      <c r="Y10" s="3" t="s">
        <v>20</v>
      </c>
    </row>
    <row r="11" spans="1:25" x14ac:dyDescent="0.25">
      <c r="A11" s="3" t="s">
        <v>28</v>
      </c>
      <c r="B11" s="3">
        <v>6641</v>
      </c>
      <c r="C11" s="3">
        <v>1</v>
      </c>
      <c r="D11" s="3">
        <v>2009</v>
      </c>
      <c r="E11" s="3">
        <v>10</v>
      </c>
      <c r="F11" s="3">
        <v>1372.692</v>
      </c>
      <c r="G11" s="3">
        <f t="shared" si="0"/>
        <v>0.48612754181254209</v>
      </c>
      <c r="J11" s="3">
        <v>0.2162</v>
      </c>
      <c r="K11" s="3">
        <v>615.55899999999997</v>
      </c>
      <c r="L11" s="3">
        <v>5647456.2000000002</v>
      </c>
      <c r="M11" s="3">
        <v>744</v>
      </c>
      <c r="N11" s="3">
        <v>587421</v>
      </c>
      <c r="O11" s="3" t="s">
        <v>28</v>
      </c>
      <c r="P11" s="3">
        <v>35.673299999999998</v>
      </c>
      <c r="Q11" s="3">
        <v>-91.408299999999997</v>
      </c>
      <c r="R11" s="3" t="s">
        <v>60</v>
      </c>
      <c r="S11" s="3" t="s">
        <v>25</v>
      </c>
      <c r="T11" s="3" t="s">
        <v>24</v>
      </c>
      <c r="U11" s="3" t="s">
        <v>23</v>
      </c>
      <c r="V11" s="3" t="s">
        <v>22</v>
      </c>
      <c r="X11" s="3" t="s">
        <v>21</v>
      </c>
      <c r="Y11" s="3" t="s">
        <v>20</v>
      </c>
    </row>
    <row r="12" spans="1:25" x14ac:dyDescent="0.25">
      <c r="A12" s="3" t="s">
        <v>28</v>
      </c>
      <c r="B12" s="3">
        <v>6641</v>
      </c>
      <c r="C12" s="3">
        <v>1</v>
      </c>
      <c r="D12" s="3">
        <v>2009</v>
      </c>
      <c r="E12" s="3">
        <v>11</v>
      </c>
      <c r="F12" s="3">
        <v>1205.953</v>
      </c>
      <c r="G12" s="3">
        <f t="shared" si="0"/>
        <v>0.45879638636970094</v>
      </c>
      <c r="J12" s="3">
        <v>0.2122</v>
      </c>
      <c r="K12" s="3">
        <v>561.40300000000002</v>
      </c>
      <c r="L12" s="3">
        <v>5257029.2</v>
      </c>
      <c r="M12" s="3">
        <v>720</v>
      </c>
      <c r="N12" s="3">
        <v>533305</v>
      </c>
      <c r="O12" s="3" t="s">
        <v>28</v>
      </c>
      <c r="P12" s="3">
        <v>35.673299999999998</v>
      </c>
      <c r="Q12" s="3">
        <v>-91.408299999999997</v>
      </c>
      <c r="R12" s="3" t="s">
        <v>60</v>
      </c>
      <c r="S12" s="3" t="s">
        <v>25</v>
      </c>
      <c r="T12" s="3" t="s">
        <v>24</v>
      </c>
      <c r="U12" s="3" t="s">
        <v>23</v>
      </c>
      <c r="V12" s="3" t="s">
        <v>22</v>
      </c>
      <c r="X12" s="3" t="s">
        <v>21</v>
      </c>
      <c r="Y12" s="3" t="s">
        <v>20</v>
      </c>
    </row>
    <row r="13" spans="1:25" x14ac:dyDescent="0.25">
      <c r="A13" s="3" t="s">
        <v>28</v>
      </c>
      <c r="B13" s="3">
        <v>6641</v>
      </c>
      <c r="C13" s="3">
        <v>1</v>
      </c>
      <c r="D13" s="3">
        <v>2009</v>
      </c>
      <c r="E13" s="3">
        <v>12</v>
      </c>
      <c r="F13" s="3">
        <v>1185.059</v>
      </c>
      <c r="G13" s="3">
        <f t="shared" si="0"/>
        <v>0.4531908453753582</v>
      </c>
      <c r="H13" s="168">
        <f>AVERAGE(G2:G13)</f>
        <v>0.45992850015667608</v>
      </c>
      <c r="I13" s="168">
        <f>MAX(G2:G13)</f>
        <v>0.49512931615356504</v>
      </c>
      <c r="J13" s="3">
        <v>0.25119999999999998</v>
      </c>
      <c r="K13" s="3">
        <v>662.29399999999998</v>
      </c>
      <c r="L13" s="3">
        <v>5229845.2719999999</v>
      </c>
      <c r="M13" s="3">
        <v>720.12</v>
      </c>
      <c r="N13" s="3">
        <v>533321</v>
      </c>
      <c r="O13" s="3" t="s">
        <v>28</v>
      </c>
      <c r="P13" s="3">
        <v>35.673299999999998</v>
      </c>
      <c r="Q13" s="3">
        <v>-91.408299999999997</v>
      </c>
      <c r="R13" s="3" t="s">
        <v>60</v>
      </c>
      <c r="S13" s="3" t="s">
        <v>25</v>
      </c>
      <c r="T13" s="3" t="s">
        <v>24</v>
      </c>
      <c r="U13" s="3" t="s">
        <v>23</v>
      </c>
      <c r="V13" s="3" t="s">
        <v>22</v>
      </c>
      <c r="X13" s="3" t="s">
        <v>21</v>
      </c>
      <c r="Y13" s="3" t="s">
        <v>20</v>
      </c>
    </row>
    <row r="14" spans="1:25" x14ac:dyDescent="0.25">
      <c r="A14" s="3" t="s">
        <v>28</v>
      </c>
      <c r="B14" s="3">
        <v>6641</v>
      </c>
      <c r="C14" s="3">
        <v>1</v>
      </c>
      <c r="D14" s="3">
        <v>2010</v>
      </c>
      <c r="E14" s="3">
        <v>1</v>
      </c>
      <c r="F14" s="3">
        <v>1211.4939999999999</v>
      </c>
      <c r="G14" s="3">
        <f t="shared" si="0"/>
        <v>0.45048901354483822</v>
      </c>
      <c r="J14" s="3">
        <v>0.2445</v>
      </c>
      <c r="K14" s="3">
        <v>657.44</v>
      </c>
      <c r="L14" s="3">
        <v>5378572.9000000004</v>
      </c>
      <c r="M14" s="3">
        <v>744</v>
      </c>
      <c r="N14" s="3">
        <v>552014</v>
      </c>
      <c r="O14" s="3" t="s">
        <v>28</v>
      </c>
      <c r="P14" s="3">
        <v>35.673299999999998</v>
      </c>
      <c r="Q14" s="3">
        <v>-91.408299999999997</v>
      </c>
      <c r="R14" s="3" t="s">
        <v>60</v>
      </c>
      <c r="S14" s="3" t="s">
        <v>25</v>
      </c>
      <c r="T14" s="3" t="s">
        <v>24</v>
      </c>
      <c r="U14" s="3" t="s">
        <v>23</v>
      </c>
      <c r="V14" s="3" t="s">
        <v>22</v>
      </c>
      <c r="X14" s="3" t="s">
        <v>21</v>
      </c>
      <c r="Y14" s="3" t="s">
        <v>20</v>
      </c>
    </row>
    <row r="15" spans="1:25" x14ac:dyDescent="0.25">
      <c r="A15" s="3" t="s">
        <v>28</v>
      </c>
      <c r="B15" s="3">
        <v>6641</v>
      </c>
      <c r="C15" s="3">
        <v>1</v>
      </c>
      <c r="D15" s="3">
        <v>2010</v>
      </c>
      <c r="E15" s="3">
        <v>2</v>
      </c>
      <c r="F15" s="3">
        <v>1062.521</v>
      </c>
      <c r="G15" s="3">
        <f t="shared" si="0"/>
        <v>0.48871201248964624</v>
      </c>
      <c r="J15" s="3">
        <v>0.24310000000000001</v>
      </c>
      <c r="K15" s="3">
        <v>536.40899999999999</v>
      </c>
      <c r="L15" s="3">
        <v>4348249.983</v>
      </c>
      <c r="M15" s="3">
        <v>598.77</v>
      </c>
      <c r="N15" s="3">
        <v>442146</v>
      </c>
      <c r="O15" s="3" t="s">
        <v>28</v>
      </c>
      <c r="P15" s="3">
        <v>35.673299999999998</v>
      </c>
      <c r="Q15" s="3">
        <v>-91.408299999999997</v>
      </c>
      <c r="R15" s="3" t="s">
        <v>60</v>
      </c>
      <c r="S15" s="3" t="s">
        <v>25</v>
      </c>
      <c r="T15" s="3" t="s">
        <v>24</v>
      </c>
      <c r="U15" s="3" t="s">
        <v>23</v>
      </c>
      <c r="V15" s="3" t="s">
        <v>22</v>
      </c>
      <c r="X15" s="3" t="s">
        <v>21</v>
      </c>
      <c r="Y15" s="3" t="s">
        <v>20</v>
      </c>
    </row>
    <row r="16" spans="1:25" x14ac:dyDescent="0.25">
      <c r="A16" s="3" t="s">
        <v>28</v>
      </c>
      <c r="B16" s="3">
        <v>6641</v>
      </c>
      <c r="C16" s="3">
        <v>1</v>
      </c>
      <c r="D16" s="3">
        <v>2010</v>
      </c>
      <c r="E16" s="3">
        <v>3</v>
      </c>
      <c r="F16" s="3">
        <v>638.78200000000004</v>
      </c>
      <c r="G16" s="3">
        <f t="shared" si="0"/>
        <v>0.42979848148698119</v>
      </c>
      <c r="J16" s="3">
        <v>0.23719999999999999</v>
      </c>
      <c r="K16" s="3">
        <v>365.95299999999997</v>
      </c>
      <c r="L16" s="3">
        <v>2972472.1120000002</v>
      </c>
      <c r="M16" s="3">
        <v>433.87</v>
      </c>
      <c r="N16" s="3">
        <v>303056</v>
      </c>
      <c r="O16" s="3" t="s">
        <v>28</v>
      </c>
      <c r="P16" s="3">
        <v>35.673299999999998</v>
      </c>
      <c r="Q16" s="3">
        <v>-91.408299999999997</v>
      </c>
      <c r="R16" s="3" t="s">
        <v>60</v>
      </c>
      <c r="S16" s="3" t="s">
        <v>25</v>
      </c>
      <c r="T16" s="3" t="s">
        <v>24</v>
      </c>
      <c r="U16" s="3" t="s">
        <v>23</v>
      </c>
      <c r="V16" s="3" t="s">
        <v>22</v>
      </c>
      <c r="X16" s="3" t="s">
        <v>21</v>
      </c>
      <c r="Y16" s="3" t="s">
        <v>20</v>
      </c>
    </row>
    <row r="17" spans="1:25" x14ac:dyDescent="0.25">
      <c r="A17" s="3" t="s">
        <v>28</v>
      </c>
      <c r="B17" s="3">
        <v>6641</v>
      </c>
      <c r="C17" s="3">
        <v>1</v>
      </c>
      <c r="D17" s="3">
        <v>2010</v>
      </c>
      <c r="E17" s="3">
        <v>4</v>
      </c>
      <c r="F17" s="3">
        <v>1346.07</v>
      </c>
      <c r="G17" s="3">
        <f t="shared" si="0"/>
        <v>0.48266209947202343</v>
      </c>
      <c r="J17" s="3">
        <v>0.24440000000000001</v>
      </c>
      <c r="K17" s="3">
        <v>682.76</v>
      </c>
      <c r="L17" s="3">
        <v>5577690.9000000004</v>
      </c>
      <c r="M17" s="3">
        <v>720</v>
      </c>
      <c r="N17" s="3">
        <v>572458</v>
      </c>
      <c r="O17" s="3" t="s">
        <v>28</v>
      </c>
      <c r="P17" s="3">
        <v>35.673299999999998</v>
      </c>
      <c r="Q17" s="3">
        <v>-91.408299999999997</v>
      </c>
      <c r="R17" s="3" t="s">
        <v>60</v>
      </c>
      <c r="S17" s="3" t="s">
        <v>25</v>
      </c>
      <c r="T17" s="3" t="s">
        <v>24</v>
      </c>
      <c r="U17" s="3" t="s">
        <v>23</v>
      </c>
      <c r="V17" s="3" t="s">
        <v>22</v>
      </c>
      <c r="X17" s="3" t="s">
        <v>21</v>
      </c>
      <c r="Y17" s="3" t="s">
        <v>20</v>
      </c>
    </row>
    <row r="18" spans="1:25" x14ac:dyDescent="0.25">
      <c r="A18" s="3" t="s">
        <v>28</v>
      </c>
      <c r="B18" s="3">
        <v>6641</v>
      </c>
      <c r="C18" s="3">
        <v>1</v>
      </c>
      <c r="D18" s="3">
        <v>2010</v>
      </c>
      <c r="E18" s="3">
        <v>5</v>
      </c>
      <c r="F18" s="3">
        <v>1505.0319999999999</v>
      </c>
      <c r="G18" s="3">
        <f t="shared" si="0"/>
        <v>0.52237091794897039</v>
      </c>
      <c r="J18" s="3">
        <v>0.23119999999999999</v>
      </c>
      <c r="K18" s="3">
        <v>669.029</v>
      </c>
      <c r="L18" s="3">
        <v>5762311.5999999996</v>
      </c>
      <c r="M18" s="3">
        <v>744</v>
      </c>
      <c r="N18" s="3">
        <v>583514</v>
      </c>
      <c r="O18" s="3" t="s">
        <v>28</v>
      </c>
      <c r="P18" s="3">
        <v>35.673299999999998</v>
      </c>
      <c r="Q18" s="3">
        <v>-91.408299999999997</v>
      </c>
      <c r="R18" s="3" t="s">
        <v>60</v>
      </c>
      <c r="S18" s="3" t="s">
        <v>25</v>
      </c>
      <c r="T18" s="3" t="s">
        <v>24</v>
      </c>
      <c r="U18" s="3" t="s">
        <v>23</v>
      </c>
      <c r="V18" s="3" t="s">
        <v>22</v>
      </c>
      <c r="X18" s="3" t="s">
        <v>21</v>
      </c>
      <c r="Y18" s="3" t="s">
        <v>20</v>
      </c>
    </row>
    <row r="19" spans="1:25" x14ac:dyDescent="0.25">
      <c r="A19" s="3" t="s">
        <v>28</v>
      </c>
      <c r="B19" s="3">
        <v>6641</v>
      </c>
      <c r="C19" s="3">
        <v>1</v>
      </c>
      <c r="D19" s="3">
        <v>2010</v>
      </c>
      <c r="E19" s="3">
        <v>6</v>
      </c>
      <c r="F19" s="3">
        <v>1353.9570000000001</v>
      </c>
      <c r="G19" s="3">
        <f t="shared" si="0"/>
        <v>0.46440783959049586</v>
      </c>
      <c r="J19" s="3">
        <v>0.23799999999999999</v>
      </c>
      <c r="K19" s="3">
        <v>697.36</v>
      </c>
      <c r="L19" s="3">
        <v>5830896.4000000004</v>
      </c>
      <c r="M19" s="3">
        <v>720</v>
      </c>
      <c r="N19" s="3">
        <v>586437</v>
      </c>
      <c r="O19" s="3" t="s">
        <v>28</v>
      </c>
      <c r="P19" s="3">
        <v>35.673299999999998</v>
      </c>
      <c r="Q19" s="3">
        <v>-91.408299999999997</v>
      </c>
      <c r="R19" s="3" t="s">
        <v>60</v>
      </c>
      <c r="S19" s="3" t="s">
        <v>25</v>
      </c>
      <c r="T19" s="3" t="s">
        <v>24</v>
      </c>
      <c r="U19" s="3" t="s">
        <v>23</v>
      </c>
      <c r="V19" s="3" t="s">
        <v>22</v>
      </c>
      <c r="X19" s="3" t="s">
        <v>21</v>
      </c>
      <c r="Y19" s="3" t="s">
        <v>20</v>
      </c>
    </row>
    <row r="20" spans="1:25" x14ac:dyDescent="0.25">
      <c r="A20" s="3" t="s">
        <v>28</v>
      </c>
      <c r="B20" s="3">
        <v>6641</v>
      </c>
      <c r="C20" s="3">
        <v>1</v>
      </c>
      <c r="D20" s="3">
        <v>2010</v>
      </c>
      <c r="E20" s="3">
        <v>7</v>
      </c>
      <c r="F20" s="3">
        <v>1408.6980000000001</v>
      </c>
      <c r="G20" s="3">
        <f t="shared" si="0"/>
        <v>0.48491373801949927</v>
      </c>
      <c r="J20" s="3">
        <v>0.23699999999999999</v>
      </c>
      <c r="K20" s="3">
        <v>692.54</v>
      </c>
      <c r="L20" s="3">
        <v>5810097.2999999998</v>
      </c>
      <c r="M20" s="3">
        <v>744</v>
      </c>
      <c r="N20" s="3">
        <v>585833</v>
      </c>
      <c r="O20" s="3" t="s">
        <v>28</v>
      </c>
      <c r="P20" s="3">
        <v>35.673299999999998</v>
      </c>
      <c r="Q20" s="3">
        <v>-91.408299999999997</v>
      </c>
      <c r="R20" s="3" t="s">
        <v>60</v>
      </c>
      <c r="S20" s="3" t="s">
        <v>25</v>
      </c>
      <c r="T20" s="3" t="s">
        <v>24</v>
      </c>
      <c r="U20" s="3" t="s">
        <v>23</v>
      </c>
      <c r="V20" s="3" t="s">
        <v>22</v>
      </c>
      <c r="X20" s="3" t="s">
        <v>21</v>
      </c>
      <c r="Y20" s="3" t="s">
        <v>20</v>
      </c>
    </row>
    <row r="21" spans="1:25" x14ac:dyDescent="0.25">
      <c r="A21" s="3" t="s">
        <v>28</v>
      </c>
      <c r="B21" s="3">
        <v>6641</v>
      </c>
      <c r="C21" s="3">
        <v>1</v>
      </c>
      <c r="D21" s="3">
        <v>2010</v>
      </c>
      <c r="E21" s="3">
        <v>8</v>
      </c>
      <c r="F21" s="3">
        <v>1423.37</v>
      </c>
      <c r="G21" s="3">
        <f t="shared" si="0"/>
        <v>0.49842317036558631</v>
      </c>
      <c r="J21" s="3">
        <v>0.24729999999999999</v>
      </c>
      <c r="K21" s="3">
        <v>711.12800000000004</v>
      </c>
      <c r="L21" s="3">
        <v>5711492.0999999996</v>
      </c>
      <c r="M21" s="3">
        <v>744</v>
      </c>
      <c r="N21" s="3">
        <v>568158</v>
      </c>
      <c r="O21" s="3" t="s">
        <v>28</v>
      </c>
      <c r="P21" s="3">
        <v>35.673299999999998</v>
      </c>
      <c r="Q21" s="3">
        <v>-91.408299999999997</v>
      </c>
      <c r="R21" s="3" t="s">
        <v>60</v>
      </c>
      <c r="S21" s="3" t="s">
        <v>25</v>
      </c>
      <c r="T21" s="3" t="s">
        <v>24</v>
      </c>
      <c r="U21" s="3" t="s">
        <v>23</v>
      </c>
      <c r="V21" s="3" t="s">
        <v>22</v>
      </c>
      <c r="X21" s="3" t="s">
        <v>21</v>
      </c>
      <c r="Y21" s="3" t="s">
        <v>20</v>
      </c>
    </row>
    <row r="22" spans="1:25" x14ac:dyDescent="0.25">
      <c r="A22" s="3" t="s">
        <v>28</v>
      </c>
      <c r="B22" s="3">
        <v>6641</v>
      </c>
      <c r="C22" s="3">
        <v>1</v>
      </c>
      <c r="D22" s="3">
        <v>2010</v>
      </c>
      <c r="E22" s="3">
        <v>9</v>
      </c>
      <c r="F22" s="3">
        <v>1125.7660000000001</v>
      </c>
      <c r="G22" s="3">
        <f t="shared" si="0"/>
        <v>0.39462018780534214</v>
      </c>
      <c r="J22" s="3">
        <v>0.25059999999999999</v>
      </c>
      <c r="K22" s="3">
        <v>716.30399999999997</v>
      </c>
      <c r="L22" s="3">
        <v>5705567.2000000002</v>
      </c>
      <c r="M22" s="3">
        <v>720</v>
      </c>
      <c r="N22" s="3">
        <v>568443</v>
      </c>
      <c r="O22" s="3" t="s">
        <v>28</v>
      </c>
      <c r="P22" s="3">
        <v>35.673299999999998</v>
      </c>
      <c r="Q22" s="3">
        <v>-91.408299999999997</v>
      </c>
      <c r="R22" s="3" t="s">
        <v>60</v>
      </c>
      <c r="S22" s="3" t="s">
        <v>25</v>
      </c>
      <c r="T22" s="3" t="s">
        <v>24</v>
      </c>
      <c r="U22" s="3" t="s">
        <v>23</v>
      </c>
      <c r="V22" s="3" t="s">
        <v>22</v>
      </c>
      <c r="X22" s="3" t="s">
        <v>21</v>
      </c>
      <c r="Y22" s="3" t="s">
        <v>20</v>
      </c>
    </row>
    <row r="23" spans="1:25" x14ac:dyDescent="0.25">
      <c r="A23" s="3" t="s">
        <v>28</v>
      </c>
      <c r="B23" s="3">
        <v>6641</v>
      </c>
      <c r="C23" s="3">
        <v>1</v>
      </c>
      <c r="D23" s="3">
        <v>2010</v>
      </c>
      <c r="E23" s="3">
        <v>10</v>
      </c>
      <c r="F23" s="3">
        <v>1268.0039999999999</v>
      </c>
      <c r="G23" s="3">
        <f t="shared" si="0"/>
        <v>0.44343277433469558</v>
      </c>
      <c r="J23" s="3">
        <v>0.25190000000000001</v>
      </c>
      <c r="K23" s="3">
        <v>719.54499999999996</v>
      </c>
      <c r="L23" s="3">
        <v>5719036</v>
      </c>
      <c r="M23" s="3">
        <v>744</v>
      </c>
      <c r="N23" s="3">
        <v>577999</v>
      </c>
      <c r="O23" s="3" t="s">
        <v>28</v>
      </c>
      <c r="P23" s="3">
        <v>35.673299999999998</v>
      </c>
      <c r="Q23" s="3">
        <v>-91.408299999999997</v>
      </c>
      <c r="R23" s="3" t="s">
        <v>60</v>
      </c>
      <c r="S23" s="3" t="s">
        <v>25</v>
      </c>
      <c r="T23" s="3" t="s">
        <v>24</v>
      </c>
      <c r="U23" s="3" t="s">
        <v>23</v>
      </c>
      <c r="V23" s="3" t="s">
        <v>22</v>
      </c>
      <c r="X23" s="3" t="s">
        <v>21</v>
      </c>
      <c r="Y23" s="3" t="s">
        <v>20</v>
      </c>
    </row>
    <row r="24" spans="1:25" x14ac:dyDescent="0.25">
      <c r="A24" s="3" t="s">
        <v>28</v>
      </c>
      <c r="B24" s="3">
        <v>6641</v>
      </c>
      <c r="C24" s="3">
        <v>1</v>
      </c>
      <c r="D24" s="3">
        <v>2010</v>
      </c>
      <c r="E24" s="3">
        <v>11</v>
      </c>
      <c r="F24" s="3">
        <v>1274.402</v>
      </c>
      <c r="G24" s="3">
        <f t="shared" si="0"/>
        <v>0.45739966948791067</v>
      </c>
      <c r="J24" s="3">
        <v>0.25440000000000002</v>
      </c>
      <c r="K24" s="3">
        <v>708.14499999999998</v>
      </c>
      <c r="L24" s="3">
        <v>5572378.3159999996</v>
      </c>
      <c r="M24" s="3">
        <v>719.68</v>
      </c>
      <c r="N24" s="3">
        <v>568923</v>
      </c>
      <c r="O24" s="3" t="s">
        <v>28</v>
      </c>
      <c r="P24" s="3">
        <v>35.673299999999998</v>
      </c>
      <c r="Q24" s="3">
        <v>-91.408299999999997</v>
      </c>
      <c r="R24" s="3" t="s">
        <v>60</v>
      </c>
      <c r="S24" s="3" t="s">
        <v>25</v>
      </c>
      <c r="T24" s="3" t="s">
        <v>24</v>
      </c>
      <c r="U24" s="3" t="s">
        <v>23</v>
      </c>
      <c r="V24" s="3" t="s">
        <v>22</v>
      </c>
      <c r="X24" s="3" t="s">
        <v>21</v>
      </c>
      <c r="Y24" s="3" t="s">
        <v>20</v>
      </c>
    </row>
    <row r="25" spans="1:25" x14ac:dyDescent="0.25">
      <c r="A25" s="3" t="s">
        <v>28</v>
      </c>
      <c r="B25" s="3">
        <v>6641</v>
      </c>
      <c r="C25" s="3">
        <v>1</v>
      </c>
      <c r="D25" s="3">
        <v>2010</v>
      </c>
      <c r="E25" s="3">
        <v>12</v>
      </c>
      <c r="F25" s="3">
        <v>1298.5909999999999</v>
      </c>
      <c r="G25" s="3">
        <f t="shared" si="0"/>
        <v>0.48784924142334907</v>
      </c>
      <c r="H25" s="168">
        <f>AVERAGE(G14:G25)</f>
        <v>0.46708992883077832</v>
      </c>
      <c r="I25" s="168">
        <f>MAX(G14:G25)</f>
        <v>0.52237091794897039</v>
      </c>
      <c r="J25" s="3">
        <v>0.25650000000000001</v>
      </c>
      <c r="K25" s="3">
        <v>684.06799999999998</v>
      </c>
      <c r="L25" s="3">
        <v>5323738.9330000002</v>
      </c>
      <c r="M25" s="3">
        <v>739.94</v>
      </c>
      <c r="N25" s="3">
        <v>554768</v>
      </c>
      <c r="O25" s="3" t="s">
        <v>28</v>
      </c>
      <c r="P25" s="3">
        <v>35.673299999999998</v>
      </c>
      <c r="Q25" s="3">
        <v>-91.408299999999997</v>
      </c>
      <c r="R25" s="3" t="s">
        <v>60</v>
      </c>
      <c r="S25" s="3" t="s">
        <v>25</v>
      </c>
      <c r="T25" s="3" t="s">
        <v>24</v>
      </c>
      <c r="U25" s="3" t="s">
        <v>23</v>
      </c>
      <c r="V25" s="3" t="s">
        <v>22</v>
      </c>
      <c r="X25" s="3" t="s">
        <v>21</v>
      </c>
      <c r="Y25" s="3" t="s">
        <v>20</v>
      </c>
    </row>
    <row r="26" spans="1:25" x14ac:dyDescent="0.25">
      <c r="A26" s="3" t="s">
        <v>28</v>
      </c>
      <c r="B26" s="3">
        <v>6641</v>
      </c>
      <c r="C26" s="3">
        <v>1</v>
      </c>
      <c r="D26" s="3">
        <v>2011</v>
      </c>
      <c r="E26" s="3">
        <v>1</v>
      </c>
      <c r="F26" s="3">
        <v>1400.366</v>
      </c>
      <c r="G26" s="3">
        <f t="shared" si="0"/>
        <v>0.54364951845726972</v>
      </c>
      <c r="J26" s="3">
        <v>0.26750000000000002</v>
      </c>
      <c r="K26" s="3">
        <v>695.04200000000003</v>
      </c>
      <c r="L26" s="3">
        <v>5151723.5</v>
      </c>
      <c r="M26" s="3">
        <v>670</v>
      </c>
      <c r="N26" s="3">
        <v>533496</v>
      </c>
      <c r="O26" s="3" t="s">
        <v>28</v>
      </c>
      <c r="P26" s="3">
        <v>35.673299999999998</v>
      </c>
      <c r="Q26" s="3">
        <v>-91.408299999999997</v>
      </c>
      <c r="R26" s="3" t="s">
        <v>60</v>
      </c>
      <c r="S26" s="3" t="s">
        <v>25</v>
      </c>
      <c r="T26" s="3" t="s">
        <v>24</v>
      </c>
      <c r="U26" s="3" t="s">
        <v>23</v>
      </c>
      <c r="V26" s="3" t="s">
        <v>22</v>
      </c>
      <c r="X26" s="3" t="s">
        <v>21</v>
      </c>
      <c r="Y26" s="3" t="s">
        <v>20</v>
      </c>
    </row>
    <row r="27" spans="1:25" x14ac:dyDescent="0.25">
      <c r="A27" s="3" t="s">
        <v>28</v>
      </c>
      <c r="B27" s="3">
        <v>6641</v>
      </c>
      <c r="C27" s="3">
        <v>1</v>
      </c>
      <c r="D27" s="3">
        <v>2011</v>
      </c>
      <c r="E27" s="3">
        <v>2</v>
      </c>
      <c r="F27" s="3">
        <v>1323.3879999999999</v>
      </c>
      <c r="G27" s="3">
        <f t="shared" si="0"/>
        <v>0.51601071903649787</v>
      </c>
      <c r="J27" s="3">
        <v>0.2424</v>
      </c>
      <c r="K27" s="3">
        <v>618.97400000000005</v>
      </c>
      <c r="L27" s="3">
        <v>5129304.3</v>
      </c>
      <c r="M27" s="3">
        <v>672</v>
      </c>
      <c r="N27" s="3">
        <v>521526</v>
      </c>
      <c r="O27" s="3" t="s">
        <v>28</v>
      </c>
      <c r="P27" s="3">
        <v>35.673299999999998</v>
      </c>
      <c r="Q27" s="3">
        <v>-91.408299999999997</v>
      </c>
      <c r="R27" s="3" t="s">
        <v>60</v>
      </c>
      <c r="S27" s="3" t="s">
        <v>25</v>
      </c>
      <c r="T27" s="3" t="s">
        <v>24</v>
      </c>
      <c r="U27" s="3" t="s">
        <v>23</v>
      </c>
      <c r="V27" s="3" t="s">
        <v>22</v>
      </c>
      <c r="X27" s="3" t="s">
        <v>21</v>
      </c>
      <c r="Y27" s="3" t="s">
        <v>20</v>
      </c>
    </row>
    <row r="28" spans="1:25" x14ac:dyDescent="0.25">
      <c r="A28" s="3" t="s">
        <v>28</v>
      </c>
      <c r="B28" s="3">
        <v>6641</v>
      </c>
      <c r="C28" s="3">
        <v>1</v>
      </c>
      <c r="D28" s="3">
        <v>2011</v>
      </c>
      <c r="E28" s="3">
        <v>3</v>
      </c>
      <c r="F28" s="3">
        <v>1313.2819999999999</v>
      </c>
      <c r="G28" s="3">
        <f t="shared" si="0"/>
        <v>0.44529151091450458</v>
      </c>
      <c r="J28" s="3">
        <v>0.2465</v>
      </c>
      <c r="K28" s="3">
        <v>728.96</v>
      </c>
      <c r="L28" s="3">
        <v>5898527</v>
      </c>
      <c r="M28" s="3">
        <v>744</v>
      </c>
      <c r="N28" s="3">
        <v>606846</v>
      </c>
      <c r="O28" s="3" t="s">
        <v>28</v>
      </c>
      <c r="P28" s="3">
        <v>35.673299999999998</v>
      </c>
      <c r="Q28" s="3">
        <v>-91.408299999999997</v>
      </c>
      <c r="R28" s="3" t="s">
        <v>60</v>
      </c>
      <c r="S28" s="3" t="s">
        <v>25</v>
      </c>
      <c r="T28" s="3" t="s">
        <v>24</v>
      </c>
      <c r="U28" s="3" t="s">
        <v>23</v>
      </c>
      <c r="V28" s="3" t="s">
        <v>22</v>
      </c>
      <c r="X28" s="3" t="s">
        <v>21</v>
      </c>
      <c r="Y28" s="3" t="s">
        <v>20</v>
      </c>
    </row>
    <row r="29" spans="1:25" x14ac:dyDescent="0.25">
      <c r="A29" s="3" t="s">
        <v>28</v>
      </c>
      <c r="B29" s="3">
        <v>6641</v>
      </c>
      <c r="C29" s="3">
        <v>1</v>
      </c>
      <c r="D29" s="3">
        <v>2011</v>
      </c>
      <c r="E29" s="3">
        <v>4</v>
      </c>
      <c r="F29" s="3">
        <v>36.311</v>
      </c>
      <c r="G29" s="3">
        <f t="shared" si="0"/>
        <v>0.44856767798041541</v>
      </c>
      <c r="J29" s="3">
        <v>0.22370000000000001</v>
      </c>
      <c r="K29" s="3">
        <v>19.233000000000001</v>
      </c>
      <c r="L29" s="3">
        <v>161897.53200000001</v>
      </c>
      <c r="M29" s="3">
        <v>22.98</v>
      </c>
      <c r="N29" s="3">
        <v>16746</v>
      </c>
      <c r="O29" s="3" t="s">
        <v>28</v>
      </c>
      <c r="P29" s="3">
        <v>35.673299999999998</v>
      </c>
      <c r="Q29" s="3">
        <v>-91.408299999999997</v>
      </c>
      <c r="R29" s="3" t="s">
        <v>60</v>
      </c>
      <c r="S29" s="3" t="s">
        <v>25</v>
      </c>
      <c r="T29" s="3" t="s">
        <v>24</v>
      </c>
      <c r="U29" s="3" t="s">
        <v>23</v>
      </c>
      <c r="V29" s="3" t="s">
        <v>22</v>
      </c>
      <c r="X29" s="3" t="s">
        <v>21</v>
      </c>
      <c r="Y29" s="3" t="s">
        <v>20</v>
      </c>
    </row>
    <row r="30" spans="1:25" x14ac:dyDescent="0.25">
      <c r="A30" s="3" t="s">
        <v>28</v>
      </c>
      <c r="B30" s="3">
        <v>6641</v>
      </c>
      <c r="C30" s="3">
        <v>1</v>
      </c>
      <c r="D30" s="3">
        <v>2011</v>
      </c>
      <c r="E30" s="3">
        <v>5</v>
      </c>
      <c r="F30" s="3">
        <v>866.82500000000005</v>
      </c>
      <c r="G30" s="3">
        <f t="shared" si="0"/>
        <v>0.51551739105062766</v>
      </c>
      <c r="J30" s="3">
        <v>0.26569999999999999</v>
      </c>
      <c r="K30" s="3">
        <v>444.00599999999997</v>
      </c>
      <c r="L30" s="3">
        <v>3362932.1340000001</v>
      </c>
      <c r="M30" s="3">
        <v>681.15</v>
      </c>
      <c r="N30" s="3">
        <v>325950</v>
      </c>
      <c r="O30" s="3" t="s">
        <v>28</v>
      </c>
      <c r="P30" s="3">
        <v>35.673299999999998</v>
      </c>
      <c r="Q30" s="3">
        <v>-91.408299999999997</v>
      </c>
      <c r="R30" s="3" t="s">
        <v>60</v>
      </c>
      <c r="S30" s="3" t="s">
        <v>25</v>
      </c>
      <c r="T30" s="3" t="s">
        <v>24</v>
      </c>
      <c r="U30" s="3" t="s">
        <v>23</v>
      </c>
      <c r="V30" s="3" t="s">
        <v>22</v>
      </c>
      <c r="X30" s="3" t="s">
        <v>21</v>
      </c>
      <c r="Y30" s="3" t="s">
        <v>20</v>
      </c>
    </row>
    <row r="31" spans="1:25" x14ac:dyDescent="0.25">
      <c r="A31" s="3" t="s">
        <v>28</v>
      </c>
      <c r="B31" s="3">
        <v>6641</v>
      </c>
      <c r="C31" s="3">
        <v>1</v>
      </c>
      <c r="D31" s="3">
        <v>2011</v>
      </c>
      <c r="E31" s="3">
        <v>6</v>
      </c>
      <c r="F31" s="3">
        <v>1384.92</v>
      </c>
      <c r="G31" s="3">
        <f t="shared" si="0"/>
        <v>0.54445014042514384</v>
      </c>
      <c r="J31" s="3">
        <v>0.26290000000000002</v>
      </c>
      <c r="K31" s="3">
        <v>677.95699999999999</v>
      </c>
      <c r="L31" s="3">
        <v>5087408</v>
      </c>
      <c r="M31" s="3">
        <v>720</v>
      </c>
      <c r="N31" s="3">
        <v>523227</v>
      </c>
      <c r="O31" s="3" t="s">
        <v>28</v>
      </c>
      <c r="P31" s="3">
        <v>35.673299999999998</v>
      </c>
      <c r="Q31" s="3">
        <v>-91.408299999999997</v>
      </c>
      <c r="R31" s="3" t="s">
        <v>60</v>
      </c>
      <c r="S31" s="3" t="s">
        <v>25</v>
      </c>
      <c r="T31" s="3" t="s">
        <v>24</v>
      </c>
      <c r="U31" s="3" t="s">
        <v>23</v>
      </c>
      <c r="V31" s="3" t="s">
        <v>22</v>
      </c>
      <c r="X31" s="3" t="s">
        <v>21</v>
      </c>
      <c r="Y31" s="3" t="s">
        <v>20</v>
      </c>
    </row>
    <row r="32" spans="1:25" x14ac:dyDescent="0.25">
      <c r="A32" s="3" t="s">
        <v>28</v>
      </c>
      <c r="B32" s="3">
        <v>6641</v>
      </c>
      <c r="C32" s="3">
        <v>1</v>
      </c>
      <c r="D32" s="3">
        <v>2011</v>
      </c>
      <c r="E32" s="3">
        <v>7</v>
      </c>
      <c r="F32" s="3">
        <v>1694.4159999999999</v>
      </c>
      <c r="G32" s="3">
        <f t="shared" si="0"/>
        <v>0.57051548974995969</v>
      </c>
      <c r="J32" s="3">
        <v>0.2621</v>
      </c>
      <c r="K32" s="3">
        <v>781.96199999999999</v>
      </c>
      <c r="L32" s="3">
        <v>5939947.4000000004</v>
      </c>
      <c r="M32" s="3">
        <v>744</v>
      </c>
      <c r="N32" s="3">
        <v>612093</v>
      </c>
      <c r="O32" s="3" t="s">
        <v>28</v>
      </c>
      <c r="P32" s="3">
        <v>35.673299999999998</v>
      </c>
      <c r="Q32" s="3">
        <v>-91.408299999999997</v>
      </c>
      <c r="R32" s="3" t="s">
        <v>60</v>
      </c>
      <c r="S32" s="3" t="s">
        <v>25</v>
      </c>
      <c r="T32" s="3" t="s">
        <v>24</v>
      </c>
      <c r="U32" s="3" t="s">
        <v>23</v>
      </c>
      <c r="V32" s="3" t="s">
        <v>22</v>
      </c>
      <c r="X32" s="3" t="s">
        <v>21</v>
      </c>
      <c r="Y32" s="3" t="s">
        <v>20</v>
      </c>
    </row>
    <row r="33" spans="1:25" x14ac:dyDescent="0.25">
      <c r="A33" s="3" t="s">
        <v>28</v>
      </c>
      <c r="B33" s="3">
        <v>6641</v>
      </c>
      <c r="C33" s="3">
        <v>1</v>
      </c>
      <c r="D33" s="3">
        <v>2011</v>
      </c>
      <c r="E33" s="3">
        <v>8</v>
      </c>
      <c r="F33" s="3">
        <v>1519.3030000000001</v>
      </c>
      <c r="G33" s="3">
        <f t="shared" si="0"/>
        <v>0.56653304911214797</v>
      </c>
      <c r="J33" s="3">
        <v>0.249</v>
      </c>
      <c r="K33" s="3">
        <v>678.29399999999998</v>
      </c>
      <c r="L33" s="3">
        <v>5363510.5750000002</v>
      </c>
      <c r="M33" s="3">
        <v>679.77</v>
      </c>
      <c r="N33" s="3">
        <v>552937</v>
      </c>
      <c r="O33" s="3" t="s">
        <v>28</v>
      </c>
      <c r="P33" s="3">
        <v>35.673299999999998</v>
      </c>
      <c r="Q33" s="3">
        <v>-91.408299999999997</v>
      </c>
      <c r="R33" s="3" t="s">
        <v>60</v>
      </c>
      <c r="S33" s="3" t="s">
        <v>25</v>
      </c>
      <c r="T33" s="3" t="s">
        <v>24</v>
      </c>
      <c r="U33" s="3" t="s">
        <v>23</v>
      </c>
      <c r="V33" s="3" t="s">
        <v>22</v>
      </c>
      <c r="X33" s="3" t="s">
        <v>21</v>
      </c>
      <c r="Y33" s="3" t="s">
        <v>20</v>
      </c>
    </row>
    <row r="34" spans="1:25" x14ac:dyDescent="0.25">
      <c r="A34" s="3" t="s">
        <v>28</v>
      </c>
      <c r="B34" s="3">
        <v>6641</v>
      </c>
      <c r="C34" s="3">
        <v>1</v>
      </c>
      <c r="D34" s="3">
        <v>2011</v>
      </c>
      <c r="E34" s="3">
        <v>9</v>
      </c>
      <c r="F34" s="3">
        <v>1481.5060000000001</v>
      </c>
      <c r="G34" s="3">
        <f t="shared" si="0"/>
        <v>0.53000256718394811</v>
      </c>
      <c r="J34" s="3">
        <v>0.25559999999999999</v>
      </c>
      <c r="K34" s="3">
        <v>719.86699999999996</v>
      </c>
      <c r="L34" s="3">
        <v>5590561.5999999996</v>
      </c>
      <c r="M34" s="3">
        <v>720</v>
      </c>
      <c r="N34" s="3">
        <v>567726</v>
      </c>
      <c r="O34" s="3" t="s">
        <v>28</v>
      </c>
      <c r="P34" s="3">
        <v>35.673299999999998</v>
      </c>
      <c r="Q34" s="3">
        <v>-91.408299999999997</v>
      </c>
      <c r="R34" s="3" t="s">
        <v>60</v>
      </c>
      <c r="S34" s="3" t="s">
        <v>25</v>
      </c>
      <c r="T34" s="3" t="s">
        <v>24</v>
      </c>
      <c r="U34" s="3" t="s">
        <v>23</v>
      </c>
      <c r="V34" s="3" t="s">
        <v>22</v>
      </c>
      <c r="X34" s="3" t="s">
        <v>21</v>
      </c>
      <c r="Y34" s="3" t="s">
        <v>20</v>
      </c>
    </row>
    <row r="35" spans="1:25" x14ac:dyDescent="0.25">
      <c r="A35" s="3" t="s">
        <v>28</v>
      </c>
      <c r="B35" s="3">
        <v>6641</v>
      </c>
      <c r="C35" s="3">
        <v>1</v>
      </c>
      <c r="D35" s="3">
        <v>2011</v>
      </c>
      <c r="E35" s="3">
        <v>10</v>
      </c>
      <c r="F35" s="3">
        <v>1440.146</v>
      </c>
      <c r="G35" s="3">
        <f t="shared" si="0"/>
        <v>0.53515266197820877</v>
      </c>
      <c r="J35" s="3">
        <v>0.22559999999999999</v>
      </c>
      <c r="K35" s="3">
        <v>611.851</v>
      </c>
      <c r="L35" s="3">
        <v>5382187.5599999996</v>
      </c>
      <c r="M35" s="3">
        <v>698.95</v>
      </c>
      <c r="N35" s="3">
        <v>538494</v>
      </c>
      <c r="O35" s="3" t="s">
        <v>28</v>
      </c>
      <c r="P35" s="3">
        <v>35.673299999999998</v>
      </c>
      <c r="Q35" s="3">
        <v>-91.408299999999997</v>
      </c>
      <c r="R35" s="3" t="s">
        <v>60</v>
      </c>
      <c r="S35" s="3" t="s">
        <v>25</v>
      </c>
      <c r="T35" s="3" t="s">
        <v>24</v>
      </c>
      <c r="U35" s="3" t="s">
        <v>23</v>
      </c>
      <c r="V35" s="3" t="s">
        <v>22</v>
      </c>
      <c r="X35" s="3" t="s">
        <v>21</v>
      </c>
      <c r="Y35" s="3" t="s">
        <v>20</v>
      </c>
    </row>
    <row r="36" spans="1:25" x14ac:dyDescent="0.25">
      <c r="A36" s="3" t="s">
        <v>28</v>
      </c>
      <c r="B36" s="3">
        <v>6641</v>
      </c>
      <c r="C36" s="3">
        <v>1</v>
      </c>
      <c r="D36" s="3">
        <v>2011</v>
      </c>
      <c r="E36" s="3">
        <v>11</v>
      </c>
      <c r="F36" s="3">
        <v>1449.819</v>
      </c>
      <c r="G36" s="3">
        <f t="shared" si="0"/>
        <v>0.56744550086354817</v>
      </c>
      <c r="J36" s="3">
        <v>0.21920000000000001</v>
      </c>
      <c r="K36" s="3">
        <v>556.55600000000004</v>
      </c>
      <c r="L36" s="3">
        <v>5109985.0039999997</v>
      </c>
      <c r="M36" s="3">
        <v>719.48</v>
      </c>
      <c r="N36" s="3">
        <v>509915</v>
      </c>
      <c r="O36" s="3" t="s">
        <v>28</v>
      </c>
      <c r="P36" s="3">
        <v>35.673299999999998</v>
      </c>
      <c r="Q36" s="3">
        <v>-91.408299999999997</v>
      </c>
      <c r="R36" s="3" t="s">
        <v>60</v>
      </c>
      <c r="S36" s="3" t="s">
        <v>25</v>
      </c>
      <c r="T36" s="3" t="s">
        <v>24</v>
      </c>
      <c r="U36" s="3" t="s">
        <v>23</v>
      </c>
      <c r="V36" s="3" t="s">
        <v>22</v>
      </c>
      <c r="X36" s="3" t="s">
        <v>21</v>
      </c>
      <c r="Y36" s="3" t="s">
        <v>20</v>
      </c>
    </row>
    <row r="37" spans="1:25" x14ac:dyDescent="0.25">
      <c r="A37" s="3" t="s">
        <v>28</v>
      </c>
      <c r="B37" s="3">
        <v>6641</v>
      </c>
      <c r="C37" s="3">
        <v>1</v>
      </c>
      <c r="D37" s="3">
        <v>2011</v>
      </c>
      <c r="E37" s="3">
        <v>12</v>
      </c>
      <c r="F37" s="3">
        <v>1397.5719999999999</v>
      </c>
      <c r="G37" s="3">
        <f t="shared" si="0"/>
        <v>0.55964893579277331</v>
      </c>
      <c r="H37" s="168">
        <f>AVERAGE(G26:G37)</f>
        <v>0.52856543021208713</v>
      </c>
      <c r="I37" s="168">
        <f>MAX(G26:G37)</f>
        <v>0.57051548974995969</v>
      </c>
      <c r="J37" s="3">
        <v>0.19350000000000001</v>
      </c>
      <c r="K37" s="3">
        <v>480.608</v>
      </c>
      <c r="L37" s="3">
        <v>4994459.5999999996</v>
      </c>
      <c r="M37" s="3">
        <v>744</v>
      </c>
      <c r="N37" s="3">
        <v>496520</v>
      </c>
      <c r="O37" s="3" t="s">
        <v>28</v>
      </c>
      <c r="P37" s="3">
        <v>35.673299999999998</v>
      </c>
      <c r="Q37" s="3">
        <v>-91.408299999999997</v>
      </c>
      <c r="R37" s="3" t="s">
        <v>60</v>
      </c>
      <c r="S37" s="3" t="s">
        <v>25</v>
      </c>
      <c r="T37" s="3" t="s">
        <v>24</v>
      </c>
      <c r="U37" s="3" t="s">
        <v>23</v>
      </c>
      <c r="V37" s="3" t="s">
        <v>22</v>
      </c>
      <c r="X37" s="3" t="s">
        <v>21</v>
      </c>
      <c r="Y37" s="3" t="s">
        <v>20</v>
      </c>
    </row>
    <row r="38" spans="1:25" x14ac:dyDescent="0.25">
      <c r="A38" s="3" t="s">
        <v>28</v>
      </c>
      <c r="B38" s="3">
        <v>6641</v>
      </c>
      <c r="C38" s="3">
        <v>1</v>
      </c>
      <c r="D38" s="3">
        <v>2012</v>
      </c>
      <c r="E38" s="3">
        <v>1</v>
      </c>
      <c r="F38" s="3">
        <v>1579.6279999999999</v>
      </c>
      <c r="G38" s="3">
        <f t="shared" si="0"/>
        <v>0.60147103056955831</v>
      </c>
      <c r="J38" s="3">
        <v>0.1825</v>
      </c>
      <c r="K38" s="3">
        <v>475.72399999999999</v>
      </c>
      <c r="L38" s="3">
        <v>5252548.9000000004</v>
      </c>
      <c r="M38" s="3">
        <v>744</v>
      </c>
      <c r="N38" s="3">
        <v>522407</v>
      </c>
      <c r="O38" s="3" t="s">
        <v>28</v>
      </c>
      <c r="P38" s="3">
        <v>35.673299999999998</v>
      </c>
      <c r="Q38" s="3">
        <v>-91.408299999999997</v>
      </c>
      <c r="R38" s="3" t="s">
        <v>60</v>
      </c>
      <c r="S38" s="3" t="s">
        <v>25</v>
      </c>
      <c r="T38" s="3" t="s">
        <v>24</v>
      </c>
      <c r="U38" s="3" t="s">
        <v>23</v>
      </c>
      <c r="V38" s="3" t="s">
        <v>22</v>
      </c>
      <c r="X38" s="3" t="s">
        <v>21</v>
      </c>
      <c r="Y38" s="3" t="s">
        <v>20</v>
      </c>
    </row>
    <row r="39" spans="1:25" x14ac:dyDescent="0.25">
      <c r="A39" s="3" t="s">
        <v>28</v>
      </c>
      <c r="B39" s="3">
        <v>6641</v>
      </c>
      <c r="C39" s="3">
        <v>1</v>
      </c>
      <c r="D39" s="3">
        <v>2012</v>
      </c>
      <c r="E39" s="3">
        <v>2</v>
      </c>
      <c r="F39" s="3">
        <v>1546.653</v>
      </c>
      <c r="G39" s="3">
        <f t="shared" si="0"/>
        <v>0.59909459093179041</v>
      </c>
      <c r="J39" s="3">
        <v>0.19239999999999999</v>
      </c>
      <c r="K39" s="3">
        <v>496.22699999999998</v>
      </c>
      <c r="L39" s="3">
        <v>5163301.5</v>
      </c>
      <c r="M39" s="3">
        <v>696</v>
      </c>
      <c r="N39" s="3">
        <v>514511</v>
      </c>
      <c r="O39" s="3" t="s">
        <v>28</v>
      </c>
      <c r="P39" s="3">
        <v>35.673299999999998</v>
      </c>
      <c r="Q39" s="3">
        <v>-91.408299999999997</v>
      </c>
      <c r="R39" s="3" t="s">
        <v>60</v>
      </c>
      <c r="S39" s="3" t="s">
        <v>25</v>
      </c>
      <c r="T39" s="3" t="s">
        <v>24</v>
      </c>
      <c r="U39" s="3" t="s">
        <v>23</v>
      </c>
      <c r="V39" s="3" t="s">
        <v>22</v>
      </c>
      <c r="X39" s="3" t="s">
        <v>21</v>
      </c>
      <c r="Y39" s="3" t="s">
        <v>20</v>
      </c>
    </row>
    <row r="40" spans="1:25" x14ac:dyDescent="0.25">
      <c r="A40" s="3" t="s">
        <v>28</v>
      </c>
      <c r="B40" s="3">
        <v>6641</v>
      </c>
      <c r="C40" s="3">
        <v>1</v>
      </c>
      <c r="D40" s="3">
        <v>2012</v>
      </c>
      <c r="E40" s="3">
        <v>3</v>
      </c>
      <c r="F40" s="3">
        <v>1423.807</v>
      </c>
      <c r="G40" s="3">
        <f t="shared" si="0"/>
        <v>0.5867701335387967</v>
      </c>
      <c r="J40" s="3">
        <v>0.1663</v>
      </c>
      <c r="K40" s="3">
        <v>404.8</v>
      </c>
      <c r="L40" s="3">
        <v>4853031.5999999996</v>
      </c>
      <c r="M40" s="3">
        <v>744</v>
      </c>
      <c r="N40" s="3">
        <v>477489</v>
      </c>
      <c r="O40" s="3" t="s">
        <v>28</v>
      </c>
      <c r="P40" s="3">
        <v>35.673299999999998</v>
      </c>
      <c r="Q40" s="3">
        <v>-91.408299999999997</v>
      </c>
      <c r="R40" s="3" t="s">
        <v>60</v>
      </c>
      <c r="S40" s="3" t="s">
        <v>25</v>
      </c>
      <c r="T40" s="3" t="s">
        <v>24</v>
      </c>
      <c r="U40" s="3" t="s">
        <v>23</v>
      </c>
      <c r="V40" s="3" t="s">
        <v>22</v>
      </c>
      <c r="X40" s="3" t="s">
        <v>21</v>
      </c>
      <c r="Y40" s="3" t="s">
        <v>20</v>
      </c>
    </row>
    <row r="41" spans="1:25" x14ac:dyDescent="0.25">
      <c r="A41" s="3" t="s">
        <v>28</v>
      </c>
      <c r="B41" s="3">
        <v>6641</v>
      </c>
      <c r="C41" s="3">
        <v>1</v>
      </c>
      <c r="D41" s="3">
        <v>2012</v>
      </c>
      <c r="E41" s="3">
        <v>4</v>
      </c>
      <c r="F41" s="3">
        <v>679.43</v>
      </c>
      <c r="G41" s="3">
        <f t="shared" si="0"/>
        <v>0.62210085383893854</v>
      </c>
      <c r="J41" s="3">
        <v>0.1431</v>
      </c>
      <c r="K41" s="3">
        <v>157.50800000000001</v>
      </c>
      <c r="L41" s="3">
        <v>2184308.2059999998</v>
      </c>
      <c r="M41" s="3">
        <v>417.7</v>
      </c>
      <c r="N41" s="3">
        <v>214666</v>
      </c>
      <c r="O41" s="3" t="s">
        <v>28</v>
      </c>
      <c r="P41" s="3">
        <v>35.673299999999998</v>
      </c>
      <c r="Q41" s="3">
        <v>-91.408299999999997</v>
      </c>
      <c r="R41" s="3" t="s">
        <v>60</v>
      </c>
      <c r="S41" s="3" t="s">
        <v>25</v>
      </c>
      <c r="T41" s="3" t="s">
        <v>24</v>
      </c>
      <c r="U41" s="3" t="s">
        <v>23</v>
      </c>
      <c r="V41" s="3" t="s">
        <v>22</v>
      </c>
      <c r="X41" s="3" t="s">
        <v>21</v>
      </c>
      <c r="Y41" s="3" t="s">
        <v>20</v>
      </c>
    </row>
    <row r="42" spans="1:25" x14ac:dyDescent="0.25">
      <c r="A42" s="3" t="s">
        <v>28</v>
      </c>
      <c r="B42" s="3">
        <v>6641</v>
      </c>
      <c r="C42" s="3">
        <v>1</v>
      </c>
      <c r="D42" s="3">
        <v>2012</v>
      </c>
      <c r="E42" s="3">
        <v>5</v>
      </c>
      <c r="F42" s="3">
        <v>1688.269</v>
      </c>
      <c r="G42" s="3">
        <f t="shared" si="0"/>
        <v>0.63107654316289763</v>
      </c>
      <c r="J42" s="3">
        <v>0.17560000000000001</v>
      </c>
      <c r="K42" s="3">
        <v>471.92899999999997</v>
      </c>
      <c r="L42" s="3">
        <v>5350441.3</v>
      </c>
      <c r="M42" s="3">
        <v>744</v>
      </c>
      <c r="N42" s="3">
        <v>517843</v>
      </c>
      <c r="O42" s="3" t="s">
        <v>28</v>
      </c>
      <c r="P42" s="3">
        <v>35.673299999999998</v>
      </c>
      <c r="Q42" s="3">
        <v>-91.408299999999997</v>
      </c>
      <c r="R42" s="3" t="s">
        <v>60</v>
      </c>
      <c r="S42" s="3" t="s">
        <v>25</v>
      </c>
      <c r="T42" s="3" t="s">
        <v>24</v>
      </c>
      <c r="U42" s="3" t="s">
        <v>23</v>
      </c>
      <c r="V42" s="3" t="s">
        <v>22</v>
      </c>
      <c r="X42" s="3" t="s">
        <v>21</v>
      </c>
      <c r="Y42" s="3" t="s">
        <v>20</v>
      </c>
    </row>
    <row r="43" spans="1:25" x14ac:dyDescent="0.25">
      <c r="A43" s="3" t="s">
        <v>28</v>
      </c>
      <c r="B43" s="3">
        <v>6641</v>
      </c>
      <c r="C43" s="3">
        <v>1</v>
      </c>
      <c r="D43" s="3">
        <v>2012</v>
      </c>
      <c r="E43" s="3">
        <v>6</v>
      </c>
      <c r="F43" s="3">
        <v>1550.2739999999999</v>
      </c>
      <c r="G43" s="3">
        <f t="shared" si="0"/>
        <v>0.58953653030656661</v>
      </c>
      <c r="J43" s="3">
        <v>0.189</v>
      </c>
      <c r="K43" s="3">
        <v>496.24599999999998</v>
      </c>
      <c r="L43" s="3">
        <v>5259297.5</v>
      </c>
      <c r="M43" s="3">
        <v>720</v>
      </c>
      <c r="N43" s="3">
        <v>501326</v>
      </c>
      <c r="O43" s="3" t="s">
        <v>28</v>
      </c>
      <c r="P43" s="3">
        <v>35.673299999999998</v>
      </c>
      <c r="Q43" s="3">
        <v>-91.408299999999997</v>
      </c>
      <c r="R43" s="3" t="s">
        <v>60</v>
      </c>
      <c r="S43" s="3" t="s">
        <v>25</v>
      </c>
      <c r="T43" s="3" t="s">
        <v>24</v>
      </c>
      <c r="U43" s="3" t="s">
        <v>23</v>
      </c>
      <c r="V43" s="3" t="s">
        <v>22</v>
      </c>
      <c r="X43" s="3" t="s">
        <v>21</v>
      </c>
      <c r="Y43" s="3" t="s">
        <v>20</v>
      </c>
    </row>
    <row r="44" spans="1:25" x14ac:dyDescent="0.25">
      <c r="A44" s="3" t="s">
        <v>28</v>
      </c>
      <c r="B44" s="3">
        <v>6641</v>
      </c>
      <c r="C44" s="3">
        <v>1</v>
      </c>
      <c r="D44" s="3">
        <v>2012</v>
      </c>
      <c r="E44" s="3">
        <v>7</v>
      </c>
      <c r="F44" s="3">
        <v>1270.0940000000001</v>
      </c>
      <c r="G44" s="3">
        <f t="shared" si="0"/>
        <v>0.58006392927507111</v>
      </c>
      <c r="J44" s="3">
        <v>0.191</v>
      </c>
      <c r="K44" s="3">
        <v>405.44900000000001</v>
      </c>
      <c r="L44" s="3">
        <v>4379151.8</v>
      </c>
      <c r="M44" s="3">
        <v>744</v>
      </c>
      <c r="N44" s="3">
        <v>403042</v>
      </c>
      <c r="O44" s="3" t="s">
        <v>28</v>
      </c>
      <c r="P44" s="3">
        <v>35.673299999999998</v>
      </c>
      <c r="Q44" s="3">
        <v>-91.408299999999997</v>
      </c>
      <c r="R44" s="3" t="s">
        <v>60</v>
      </c>
      <c r="S44" s="3" t="s">
        <v>25</v>
      </c>
      <c r="T44" s="3" t="s">
        <v>24</v>
      </c>
      <c r="U44" s="3" t="s">
        <v>23</v>
      </c>
      <c r="V44" s="3" t="s">
        <v>22</v>
      </c>
      <c r="X44" s="3" t="s">
        <v>21</v>
      </c>
      <c r="Y44" s="3" t="s">
        <v>20</v>
      </c>
    </row>
    <row r="45" spans="1:25" x14ac:dyDescent="0.25">
      <c r="A45" s="3" t="s">
        <v>28</v>
      </c>
      <c r="B45" s="3">
        <v>6641</v>
      </c>
      <c r="C45" s="3">
        <v>1</v>
      </c>
      <c r="D45" s="3">
        <v>2012</v>
      </c>
      <c r="E45" s="3">
        <v>8</v>
      </c>
      <c r="F45" s="3">
        <v>1269.23</v>
      </c>
      <c r="G45" s="3">
        <f t="shared" si="0"/>
        <v>0.56987958547583151</v>
      </c>
      <c r="J45" s="3">
        <v>0.2117</v>
      </c>
      <c r="K45" s="3">
        <v>450.81400000000002</v>
      </c>
      <c r="L45" s="3">
        <v>4454379.5999999996</v>
      </c>
      <c r="M45" s="3">
        <v>744</v>
      </c>
      <c r="N45" s="3">
        <v>430120</v>
      </c>
      <c r="O45" s="3" t="s">
        <v>28</v>
      </c>
      <c r="P45" s="3">
        <v>35.673299999999998</v>
      </c>
      <c r="Q45" s="3">
        <v>-91.408299999999997</v>
      </c>
      <c r="R45" s="3" t="s">
        <v>60</v>
      </c>
      <c r="S45" s="3" t="s">
        <v>25</v>
      </c>
      <c r="T45" s="3" t="s">
        <v>24</v>
      </c>
      <c r="U45" s="3" t="s">
        <v>23</v>
      </c>
      <c r="V45" s="3" t="s">
        <v>22</v>
      </c>
      <c r="X45" s="3" t="s">
        <v>21</v>
      </c>
      <c r="Y45" s="3" t="s">
        <v>20</v>
      </c>
    </row>
    <row r="46" spans="1:25" x14ac:dyDescent="0.25">
      <c r="A46" s="3" t="s">
        <v>28</v>
      </c>
      <c r="B46" s="3">
        <v>6641</v>
      </c>
      <c r="C46" s="3">
        <v>1</v>
      </c>
      <c r="D46" s="3">
        <v>2012</v>
      </c>
      <c r="E46" s="3">
        <v>9</v>
      </c>
      <c r="F46" s="3">
        <v>1304.0619999999999</v>
      </c>
      <c r="G46" s="3">
        <f t="shared" si="0"/>
        <v>0.58256250405267096</v>
      </c>
      <c r="J46" s="3">
        <v>0.21429999999999999</v>
      </c>
      <c r="K46" s="3">
        <v>465.43200000000002</v>
      </c>
      <c r="L46" s="3">
        <v>4476985.7</v>
      </c>
      <c r="M46" s="3">
        <v>720</v>
      </c>
      <c r="N46" s="3">
        <v>462666</v>
      </c>
      <c r="O46" s="3" t="s">
        <v>28</v>
      </c>
      <c r="P46" s="3">
        <v>35.673299999999998</v>
      </c>
      <c r="Q46" s="3">
        <v>-91.408299999999997</v>
      </c>
      <c r="R46" s="3" t="s">
        <v>60</v>
      </c>
      <c r="S46" s="3" t="s">
        <v>25</v>
      </c>
      <c r="T46" s="3" t="s">
        <v>24</v>
      </c>
      <c r="U46" s="3" t="s">
        <v>23</v>
      </c>
      <c r="V46" s="3" t="s">
        <v>22</v>
      </c>
      <c r="X46" s="3" t="s">
        <v>21</v>
      </c>
      <c r="Y46" s="3" t="s">
        <v>20</v>
      </c>
    </row>
    <row r="47" spans="1:25" x14ac:dyDescent="0.25">
      <c r="A47" s="3" t="s">
        <v>28</v>
      </c>
      <c r="B47" s="3">
        <v>6641</v>
      </c>
      <c r="C47" s="3">
        <v>1</v>
      </c>
      <c r="D47" s="3">
        <v>2012</v>
      </c>
      <c r="E47" s="3">
        <v>10</v>
      </c>
      <c r="F47" s="3">
        <v>1436.5519999999999</v>
      </c>
      <c r="G47" s="3">
        <f t="shared" si="0"/>
        <v>0.59653167074022351</v>
      </c>
      <c r="J47" s="3">
        <v>0.21940000000000001</v>
      </c>
      <c r="K47" s="3">
        <v>516.44000000000005</v>
      </c>
      <c r="L47" s="3">
        <v>4816347.8</v>
      </c>
      <c r="M47" s="3">
        <v>744</v>
      </c>
      <c r="N47" s="3">
        <v>504190</v>
      </c>
      <c r="O47" s="3" t="s">
        <v>28</v>
      </c>
      <c r="P47" s="3">
        <v>35.673299999999998</v>
      </c>
      <c r="Q47" s="3">
        <v>-91.408299999999997</v>
      </c>
      <c r="R47" s="3" t="s">
        <v>60</v>
      </c>
      <c r="S47" s="3" t="s">
        <v>25</v>
      </c>
      <c r="T47" s="3" t="s">
        <v>24</v>
      </c>
      <c r="U47" s="3" t="s">
        <v>23</v>
      </c>
      <c r="V47" s="3" t="s">
        <v>22</v>
      </c>
      <c r="X47" s="3" t="s">
        <v>21</v>
      </c>
      <c r="Y47" s="3" t="s">
        <v>20</v>
      </c>
    </row>
    <row r="48" spans="1:25" x14ac:dyDescent="0.25">
      <c r="A48" s="3" t="s">
        <v>28</v>
      </c>
      <c r="B48" s="3">
        <v>6641</v>
      </c>
      <c r="C48" s="3">
        <v>1</v>
      </c>
      <c r="D48" s="3">
        <v>2012</v>
      </c>
      <c r="E48" s="3">
        <v>11</v>
      </c>
      <c r="F48" s="3">
        <v>1297.028</v>
      </c>
      <c r="G48" s="3">
        <f t="shared" si="0"/>
        <v>0.54674982058709753</v>
      </c>
      <c r="J48" s="3">
        <v>0.2369</v>
      </c>
      <c r="K48" s="3">
        <v>553.91999999999996</v>
      </c>
      <c r="L48" s="3">
        <v>4744502.7</v>
      </c>
      <c r="M48" s="3">
        <v>720</v>
      </c>
      <c r="N48" s="3">
        <v>501322</v>
      </c>
      <c r="O48" s="3" t="s">
        <v>28</v>
      </c>
      <c r="P48" s="3">
        <v>35.673299999999998</v>
      </c>
      <c r="Q48" s="3">
        <v>-91.408299999999997</v>
      </c>
      <c r="R48" s="3" t="s">
        <v>60</v>
      </c>
      <c r="S48" s="3" t="s">
        <v>25</v>
      </c>
      <c r="T48" s="3" t="s">
        <v>24</v>
      </c>
      <c r="U48" s="3" t="s">
        <v>23</v>
      </c>
      <c r="V48" s="3" t="s">
        <v>22</v>
      </c>
      <c r="X48" s="3" t="s">
        <v>21</v>
      </c>
      <c r="Y48" s="3" t="s">
        <v>20</v>
      </c>
    </row>
    <row r="49" spans="1:25" x14ac:dyDescent="0.25">
      <c r="A49" s="3" t="s">
        <v>28</v>
      </c>
      <c r="B49" s="3">
        <v>6641</v>
      </c>
      <c r="C49" s="3">
        <v>1</v>
      </c>
      <c r="D49" s="3">
        <v>2012</v>
      </c>
      <c r="E49" s="3">
        <v>12</v>
      </c>
      <c r="F49" s="3">
        <v>1187.48</v>
      </c>
      <c r="G49" s="3">
        <f t="shared" si="0"/>
        <v>0.53804931342391982</v>
      </c>
      <c r="H49" s="168">
        <f>AVERAGE(G38:G49)</f>
        <v>0.58699054215861346</v>
      </c>
      <c r="I49" s="169">
        <f>MAX(G38:G49)</f>
        <v>0.63107654316289763</v>
      </c>
      <c r="J49" s="3">
        <v>0.2177</v>
      </c>
      <c r="K49" s="3">
        <v>469.99299999999999</v>
      </c>
      <c r="L49" s="3">
        <v>4414019.2</v>
      </c>
      <c r="M49" s="3">
        <v>744</v>
      </c>
      <c r="N49" s="3">
        <v>463989</v>
      </c>
      <c r="O49" s="3" t="s">
        <v>28</v>
      </c>
      <c r="P49" s="3">
        <v>35.673299999999998</v>
      </c>
      <c r="Q49" s="3">
        <v>-91.408299999999997</v>
      </c>
      <c r="R49" s="3" t="s">
        <v>60</v>
      </c>
      <c r="S49" s="3" t="s">
        <v>25</v>
      </c>
      <c r="T49" s="3" t="s">
        <v>24</v>
      </c>
      <c r="U49" s="3" t="s">
        <v>23</v>
      </c>
      <c r="V49" s="3" t="s">
        <v>22</v>
      </c>
      <c r="X49" s="3" t="s">
        <v>21</v>
      </c>
      <c r="Y49" s="3" t="s">
        <v>20</v>
      </c>
    </row>
    <row r="50" spans="1:25" x14ac:dyDescent="0.25">
      <c r="A50" s="3" t="s">
        <v>28</v>
      </c>
      <c r="B50" s="3">
        <v>6641</v>
      </c>
      <c r="C50" s="3">
        <v>1</v>
      </c>
      <c r="D50" s="3">
        <v>2013</v>
      </c>
      <c r="E50" s="3">
        <v>1</v>
      </c>
      <c r="F50" s="3">
        <v>1171.6500000000001</v>
      </c>
      <c r="G50" s="3">
        <f t="shared" si="0"/>
        <v>0.54360509237502941</v>
      </c>
      <c r="J50" s="3">
        <v>0.19900000000000001</v>
      </c>
      <c r="K50" s="3">
        <v>426.18599999999998</v>
      </c>
      <c r="L50" s="3">
        <v>4310666.0199999996</v>
      </c>
      <c r="M50" s="3">
        <v>696.5</v>
      </c>
      <c r="N50" s="3">
        <v>450265.35</v>
      </c>
      <c r="O50" s="3" t="s">
        <v>28</v>
      </c>
      <c r="P50" s="3">
        <v>35.673299999999998</v>
      </c>
      <c r="Q50" s="3">
        <v>-91.408299999999997</v>
      </c>
      <c r="R50" s="3" t="s">
        <v>60</v>
      </c>
      <c r="S50" s="3" t="s">
        <v>25</v>
      </c>
      <c r="T50" s="3" t="s">
        <v>24</v>
      </c>
      <c r="U50" s="3" t="s">
        <v>23</v>
      </c>
      <c r="V50" s="3" t="s">
        <v>22</v>
      </c>
      <c r="X50" s="3" t="s">
        <v>21</v>
      </c>
      <c r="Y50" s="3" t="s">
        <v>20</v>
      </c>
    </row>
    <row r="51" spans="1:25" x14ac:dyDescent="0.25">
      <c r="A51" s="3" t="s">
        <v>28</v>
      </c>
      <c r="B51" s="3">
        <v>6641</v>
      </c>
      <c r="C51" s="3">
        <v>1</v>
      </c>
      <c r="D51" s="3">
        <v>2013</v>
      </c>
      <c r="E51" s="3">
        <v>2</v>
      </c>
      <c r="F51" s="3">
        <v>1004.2140000000001</v>
      </c>
      <c r="G51" s="3">
        <f t="shared" si="0"/>
        <v>0.50844136591309164</v>
      </c>
      <c r="J51" s="3">
        <v>0.19919999999999999</v>
      </c>
      <c r="K51" s="3">
        <v>392.21100000000001</v>
      </c>
      <c r="L51" s="3">
        <v>3950166.4</v>
      </c>
      <c r="M51" s="3">
        <v>672</v>
      </c>
      <c r="N51" s="3">
        <v>421870</v>
      </c>
      <c r="O51" s="3" t="s">
        <v>28</v>
      </c>
      <c r="P51" s="3">
        <v>35.673299999999998</v>
      </c>
      <c r="Q51" s="3">
        <v>-91.408299999999997</v>
      </c>
      <c r="R51" s="3" t="s">
        <v>60</v>
      </c>
      <c r="S51" s="3" t="s">
        <v>25</v>
      </c>
      <c r="T51" s="3" t="s">
        <v>24</v>
      </c>
      <c r="U51" s="3" t="s">
        <v>23</v>
      </c>
      <c r="V51" s="3" t="s">
        <v>22</v>
      </c>
      <c r="X51" s="3" t="s">
        <v>21</v>
      </c>
      <c r="Y51" s="3" t="s">
        <v>20</v>
      </c>
    </row>
    <row r="52" spans="1:25" x14ac:dyDescent="0.25">
      <c r="A52" s="3" t="s">
        <v>28</v>
      </c>
      <c r="B52" s="3">
        <v>6641</v>
      </c>
      <c r="C52" s="3">
        <v>1</v>
      </c>
      <c r="D52" s="3">
        <v>2013</v>
      </c>
      <c r="E52" s="3">
        <v>3</v>
      </c>
      <c r="F52" s="3">
        <v>1163.73</v>
      </c>
      <c r="G52" s="3">
        <f t="shared" si="0"/>
        <v>0.54591824722467031</v>
      </c>
      <c r="J52" s="3">
        <v>0.19359999999999999</v>
      </c>
      <c r="K52" s="3">
        <v>414.45699999999999</v>
      </c>
      <c r="L52" s="3">
        <v>4263385.6109999996</v>
      </c>
      <c r="M52" s="3">
        <v>694.48</v>
      </c>
      <c r="N52" s="3">
        <v>448250.75</v>
      </c>
      <c r="O52" s="3" t="s">
        <v>28</v>
      </c>
      <c r="P52" s="3">
        <v>35.673299999999998</v>
      </c>
      <c r="Q52" s="3">
        <v>-91.408299999999997</v>
      </c>
      <c r="R52" s="3" t="s">
        <v>60</v>
      </c>
      <c r="S52" s="3" t="s">
        <v>25</v>
      </c>
      <c r="T52" s="3" t="s">
        <v>24</v>
      </c>
      <c r="U52" s="3" t="s">
        <v>23</v>
      </c>
      <c r="V52" s="3" t="s">
        <v>22</v>
      </c>
      <c r="X52" s="3" t="s">
        <v>21</v>
      </c>
      <c r="Y52" s="3" t="s">
        <v>20</v>
      </c>
    </row>
    <row r="53" spans="1:25" x14ac:dyDescent="0.25">
      <c r="A53" s="3" t="s">
        <v>28</v>
      </c>
      <c r="B53" s="3">
        <v>6641</v>
      </c>
      <c r="C53" s="3">
        <v>1</v>
      </c>
      <c r="D53" s="3">
        <v>2013</v>
      </c>
      <c r="E53" s="3">
        <v>4</v>
      </c>
      <c r="G53" s="3" t="str">
        <f t="shared" si="0"/>
        <v/>
      </c>
      <c r="M53" s="3">
        <v>0</v>
      </c>
      <c r="O53" s="3" t="s">
        <v>28</v>
      </c>
      <c r="P53" s="3">
        <v>35.673299999999998</v>
      </c>
      <c r="Q53" s="3">
        <v>-91.408299999999997</v>
      </c>
      <c r="R53" s="3" t="s">
        <v>60</v>
      </c>
      <c r="S53" s="3" t="s">
        <v>25</v>
      </c>
      <c r="T53" s="3" t="s">
        <v>24</v>
      </c>
      <c r="U53" s="3" t="s">
        <v>23</v>
      </c>
      <c r="V53" s="3" t="s">
        <v>22</v>
      </c>
      <c r="X53" s="3" t="s">
        <v>21</v>
      </c>
      <c r="Y53" s="3" t="s">
        <v>20</v>
      </c>
    </row>
    <row r="54" spans="1:25" x14ac:dyDescent="0.25">
      <c r="A54" s="3" t="s">
        <v>28</v>
      </c>
      <c r="B54" s="3">
        <v>6641</v>
      </c>
      <c r="C54" s="3">
        <v>1</v>
      </c>
      <c r="D54" s="3">
        <v>2013</v>
      </c>
      <c r="E54" s="3">
        <v>5</v>
      </c>
      <c r="F54" s="3">
        <v>186.91900000000001</v>
      </c>
      <c r="G54" s="3">
        <f t="shared" si="0"/>
        <v>0.557284864515877</v>
      </c>
      <c r="J54" s="3">
        <v>0.1535</v>
      </c>
      <c r="K54" s="3">
        <v>62.701000000000001</v>
      </c>
      <c r="L54" s="3">
        <v>670820.30000000005</v>
      </c>
      <c r="M54" s="3">
        <v>152</v>
      </c>
      <c r="N54" s="3">
        <v>66322</v>
      </c>
      <c r="O54" s="3" t="s">
        <v>28</v>
      </c>
      <c r="P54" s="3">
        <v>35.673299999999998</v>
      </c>
      <c r="Q54" s="3">
        <v>-91.408299999999997</v>
      </c>
      <c r="R54" s="3" t="s">
        <v>60</v>
      </c>
      <c r="S54" s="3" t="s">
        <v>25</v>
      </c>
      <c r="T54" s="3" t="s">
        <v>24</v>
      </c>
      <c r="U54" s="3" t="s">
        <v>23</v>
      </c>
      <c r="V54" s="3" t="s">
        <v>22</v>
      </c>
      <c r="X54" s="3" t="s">
        <v>21</v>
      </c>
      <c r="Y54" s="3" t="s">
        <v>20</v>
      </c>
    </row>
    <row r="55" spans="1:25" x14ac:dyDescent="0.25">
      <c r="A55" s="3" t="s">
        <v>28</v>
      </c>
      <c r="B55" s="3">
        <v>6641</v>
      </c>
      <c r="C55" s="3">
        <v>1</v>
      </c>
      <c r="D55" s="3">
        <v>2013</v>
      </c>
      <c r="E55" s="3">
        <v>6</v>
      </c>
      <c r="F55" s="3">
        <v>1267.076</v>
      </c>
      <c r="G55" s="3">
        <f t="shared" si="0"/>
        <v>0.52528094988493867</v>
      </c>
      <c r="J55" s="3">
        <v>0.2135</v>
      </c>
      <c r="K55" s="3">
        <v>519.05399999999997</v>
      </c>
      <c r="L55" s="3">
        <v>4824374.4620000003</v>
      </c>
      <c r="M55" s="3">
        <v>703.37</v>
      </c>
      <c r="N55" s="3">
        <v>503191.48</v>
      </c>
      <c r="O55" s="3" t="s">
        <v>28</v>
      </c>
      <c r="P55" s="3">
        <v>35.673299999999998</v>
      </c>
      <c r="Q55" s="3">
        <v>-91.408299999999997</v>
      </c>
      <c r="R55" s="3" t="s">
        <v>60</v>
      </c>
      <c r="S55" s="3" t="s">
        <v>25</v>
      </c>
      <c r="T55" s="3" t="s">
        <v>24</v>
      </c>
      <c r="U55" s="3" t="s">
        <v>23</v>
      </c>
      <c r="V55" s="3" t="s">
        <v>22</v>
      </c>
      <c r="X55" s="3" t="s">
        <v>21</v>
      </c>
      <c r="Y55" s="3" t="s">
        <v>20</v>
      </c>
    </row>
    <row r="56" spans="1:25" x14ac:dyDescent="0.25">
      <c r="A56" s="3" t="s">
        <v>28</v>
      </c>
      <c r="B56" s="3">
        <v>6641</v>
      </c>
      <c r="C56" s="3">
        <v>1</v>
      </c>
      <c r="D56" s="3">
        <v>2013</v>
      </c>
      <c r="E56" s="3">
        <v>7</v>
      </c>
      <c r="F56" s="3">
        <v>1240.6030000000001</v>
      </c>
      <c r="G56" s="3">
        <f t="shared" si="0"/>
        <v>0.53412139139009296</v>
      </c>
      <c r="J56" s="3">
        <v>0.216</v>
      </c>
      <c r="K56" s="3">
        <v>504.39</v>
      </c>
      <c r="L56" s="3">
        <v>4645397.17</v>
      </c>
      <c r="M56" s="3">
        <v>677.25</v>
      </c>
      <c r="N56" s="3">
        <v>478085.26</v>
      </c>
      <c r="O56" s="3" t="s">
        <v>28</v>
      </c>
      <c r="P56" s="3">
        <v>35.673299999999998</v>
      </c>
      <c r="Q56" s="3">
        <v>-91.408299999999997</v>
      </c>
      <c r="R56" s="3" t="s">
        <v>60</v>
      </c>
      <c r="S56" s="3" t="s">
        <v>25</v>
      </c>
      <c r="T56" s="3" t="s">
        <v>24</v>
      </c>
      <c r="U56" s="3" t="s">
        <v>23</v>
      </c>
      <c r="V56" s="3" t="s">
        <v>22</v>
      </c>
      <c r="X56" s="3" t="s">
        <v>21</v>
      </c>
      <c r="Y56" s="3" t="s">
        <v>20</v>
      </c>
    </row>
    <row r="57" spans="1:25" x14ac:dyDescent="0.25">
      <c r="A57" s="3" t="s">
        <v>28</v>
      </c>
      <c r="B57" s="3">
        <v>6641</v>
      </c>
      <c r="C57" s="3">
        <v>1</v>
      </c>
      <c r="D57" s="3">
        <v>2013</v>
      </c>
      <c r="E57" s="3">
        <v>8</v>
      </c>
      <c r="F57" s="3">
        <v>1445.2349999999999</v>
      </c>
      <c r="G57" s="3">
        <f t="shared" si="0"/>
        <v>0.55416111157762993</v>
      </c>
      <c r="J57" s="3">
        <v>0.2205</v>
      </c>
      <c r="K57" s="3">
        <v>578.61800000000005</v>
      </c>
      <c r="L57" s="3">
        <v>5215938</v>
      </c>
      <c r="M57" s="3">
        <v>744</v>
      </c>
      <c r="N57" s="3">
        <v>540419</v>
      </c>
      <c r="O57" s="3" t="s">
        <v>28</v>
      </c>
      <c r="P57" s="3">
        <v>35.673299999999998</v>
      </c>
      <c r="Q57" s="3">
        <v>-91.408299999999997</v>
      </c>
      <c r="R57" s="3" t="s">
        <v>60</v>
      </c>
      <c r="S57" s="3" t="s">
        <v>25</v>
      </c>
      <c r="T57" s="3" t="s">
        <v>24</v>
      </c>
      <c r="U57" s="3" t="s">
        <v>23</v>
      </c>
      <c r="V57" s="3" t="s">
        <v>22</v>
      </c>
      <c r="X57" s="3" t="s">
        <v>21</v>
      </c>
      <c r="Y57" s="3" t="s">
        <v>20</v>
      </c>
    </row>
    <row r="58" spans="1:25" x14ac:dyDescent="0.25">
      <c r="A58" s="3" t="s">
        <v>28</v>
      </c>
      <c r="B58" s="3">
        <v>6641</v>
      </c>
      <c r="C58" s="3">
        <v>1</v>
      </c>
      <c r="D58" s="3">
        <v>2013</v>
      </c>
      <c r="E58" s="3">
        <v>9</v>
      </c>
      <c r="F58" s="3">
        <v>1364.337</v>
      </c>
      <c r="G58" s="3">
        <f t="shared" si="0"/>
        <v>0.56763526992617552</v>
      </c>
      <c r="J58" s="3">
        <v>0.19789999999999999</v>
      </c>
      <c r="K58" s="3">
        <v>477.19099999999997</v>
      </c>
      <c r="L58" s="3">
        <v>4807090.3</v>
      </c>
      <c r="M58" s="3">
        <v>720</v>
      </c>
      <c r="N58" s="3">
        <v>501691</v>
      </c>
      <c r="O58" s="3" t="s">
        <v>28</v>
      </c>
      <c r="P58" s="3">
        <v>35.673299999999998</v>
      </c>
      <c r="Q58" s="3">
        <v>-91.408299999999997</v>
      </c>
      <c r="R58" s="3" t="s">
        <v>60</v>
      </c>
      <c r="S58" s="3" t="s">
        <v>25</v>
      </c>
      <c r="T58" s="3" t="s">
        <v>24</v>
      </c>
      <c r="U58" s="3" t="s">
        <v>23</v>
      </c>
      <c r="V58" s="3" t="s">
        <v>22</v>
      </c>
      <c r="X58" s="3" t="s">
        <v>21</v>
      </c>
      <c r="Y58" s="3" t="s">
        <v>20</v>
      </c>
    </row>
    <row r="59" spans="1:25" x14ac:dyDescent="0.25">
      <c r="A59" s="3" t="s">
        <v>28</v>
      </c>
      <c r="B59" s="3">
        <v>6641</v>
      </c>
      <c r="C59" s="3">
        <v>1</v>
      </c>
      <c r="D59" s="3">
        <v>2013</v>
      </c>
      <c r="E59" s="3">
        <v>10</v>
      </c>
      <c r="F59" s="3">
        <v>1169.0940000000001</v>
      </c>
      <c r="G59" s="3">
        <f t="shared" si="0"/>
        <v>0.54471397005572242</v>
      </c>
      <c r="J59" s="3">
        <v>0.19500000000000001</v>
      </c>
      <c r="K59" s="3">
        <v>423.15199999999999</v>
      </c>
      <c r="L59" s="3">
        <v>4292506.0279999999</v>
      </c>
      <c r="M59" s="3">
        <v>722.48</v>
      </c>
      <c r="N59" s="3">
        <v>462325.41</v>
      </c>
      <c r="O59" s="3" t="s">
        <v>28</v>
      </c>
      <c r="P59" s="3">
        <v>35.673299999999998</v>
      </c>
      <c r="Q59" s="3">
        <v>-91.408299999999997</v>
      </c>
      <c r="R59" s="3" t="s">
        <v>60</v>
      </c>
      <c r="S59" s="3" t="s">
        <v>25</v>
      </c>
      <c r="T59" s="3" t="s">
        <v>24</v>
      </c>
      <c r="U59" s="3" t="s">
        <v>23</v>
      </c>
      <c r="V59" s="3" t="s">
        <v>22</v>
      </c>
      <c r="X59" s="3" t="s">
        <v>21</v>
      </c>
      <c r="Y59" s="3" t="s">
        <v>20</v>
      </c>
    </row>
    <row r="60" spans="1:25" x14ac:dyDescent="0.25">
      <c r="A60" s="3" t="s">
        <v>28</v>
      </c>
      <c r="B60" s="3">
        <v>6641</v>
      </c>
      <c r="C60" s="3">
        <v>1</v>
      </c>
      <c r="D60" s="3">
        <v>2013</v>
      </c>
      <c r="E60" s="3">
        <v>11</v>
      </c>
      <c r="F60" s="3">
        <v>1154.896</v>
      </c>
      <c r="G60" s="3">
        <f t="shared" si="0"/>
        <v>0.574929392437315</v>
      </c>
      <c r="J60" s="3">
        <v>0.2233</v>
      </c>
      <c r="K60" s="3">
        <v>422.36900000000003</v>
      </c>
      <c r="L60" s="3">
        <v>4017522.9</v>
      </c>
      <c r="M60" s="3">
        <v>720</v>
      </c>
      <c r="N60" s="3">
        <v>443499</v>
      </c>
      <c r="O60" s="3" t="s">
        <v>28</v>
      </c>
      <c r="P60" s="3">
        <v>35.673299999999998</v>
      </c>
      <c r="Q60" s="3">
        <v>-91.408299999999997</v>
      </c>
      <c r="R60" s="3" t="s">
        <v>60</v>
      </c>
      <c r="S60" s="3" t="s">
        <v>25</v>
      </c>
      <c r="T60" s="3" t="s">
        <v>24</v>
      </c>
      <c r="U60" s="3" t="s">
        <v>23</v>
      </c>
      <c r="V60" s="3" t="s">
        <v>22</v>
      </c>
      <c r="X60" s="3" t="s">
        <v>21</v>
      </c>
      <c r="Y60" s="3" t="s">
        <v>20</v>
      </c>
    </row>
    <row r="61" spans="1:25" x14ac:dyDescent="0.25">
      <c r="A61" s="3" t="s">
        <v>28</v>
      </c>
      <c r="B61" s="3">
        <v>6641</v>
      </c>
      <c r="C61" s="3">
        <v>1</v>
      </c>
      <c r="D61" s="3">
        <v>2013</v>
      </c>
      <c r="E61" s="3">
        <v>12</v>
      </c>
      <c r="F61" s="3">
        <v>1413.434</v>
      </c>
      <c r="G61" s="3">
        <f t="shared" si="0"/>
        <v>0.59704501086885975</v>
      </c>
      <c r="H61" s="168">
        <f>AVERAGE(G50:G61)</f>
        <v>0.55028515146994572</v>
      </c>
      <c r="I61" s="168">
        <f>MAX(G50:G61)</f>
        <v>0.59704501086885975</v>
      </c>
      <c r="J61" s="3">
        <v>0.2263</v>
      </c>
      <c r="K61" s="3">
        <v>517.14499999999998</v>
      </c>
      <c r="L61" s="3">
        <v>4734765.3</v>
      </c>
      <c r="M61" s="3">
        <v>744</v>
      </c>
      <c r="N61" s="3">
        <v>531624</v>
      </c>
      <c r="O61" s="3" t="s">
        <v>28</v>
      </c>
      <c r="P61" s="3">
        <v>35.673299999999998</v>
      </c>
      <c r="Q61" s="3">
        <v>-91.408299999999997</v>
      </c>
      <c r="R61" s="3" t="s">
        <v>60</v>
      </c>
      <c r="S61" s="3" t="s">
        <v>25</v>
      </c>
      <c r="T61" s="3" t="s">
        <v>24</v>
      </c>
      <c r="U61" s="3" t="s">
        <v>23</v>
      </c>
      <c r="V61" s="3" t="s">
        <v>22</v>
      </c>
      <c r="X61" s="3" t="s">
        <v>21</v>
      </c>
      <c r="Y61" s="3" t="s">
        <v>20</v>
      </c>
    </row>
    <row r="62" spans="1:25" x14ac:dyDescent="0.25">
      <c r="A62" s="3" t="s">
        <v>28</v>
      </c>
      <c r="B62" s="3">
        <v>6641</v>
      </c>
      <c r="C62" s="3">
        <v>2</v>
      </c>
      <c r="D62" s="3">
        <v>2009</v>
      </c>
      <c r="E62" s="3">
        <v>1</v>
      </c>
      <c r="F62" s="3">
        <v>1276.04</v>
      </c>
      <c r="G62" s="3">
        <f t="shared" si="0"/>
        <v>0.46195401870420921</v>
      </c>
      <c r="J62" s="3">
        <v>0.2702</v>
      </c>
      <c r="K62" s="3">
        <v>744.70399999999995</v>
      </c>
      <c r="L62" s="3">
        <v>5524532.5219999999</v>
      </c>
      <c r="M62" s="3">
        <v>671.78</v>
      </c>
      <c r="N62" s="3">
        <v>553203</v>
      </c>
      <c r="O62" s="3" t="s">
        <v>28</v>
      </c>
      <c r="P62" s="3">
        <v>35.673299999999998</v>
      </c>
      <c r="Q62" s="3">
        <v>-91.408299999999997</v>
      </c>
      <c r="R62" s="3" t="s">
        <v>60</v>
      </c>
      <c r="S62" s="3" t="s">
        <v>25</v>
      </c>
      <c r="T62" s="3" t="s">
        <v>24</v>
      </c>
      <c r="U62" s="3" t="s">
        <v>23</v>
      </c>
      <c r="V62" s="3" t="s">
        <v>22</v>
      </c>
      <c r="X62" s="3" t="s">
        <v>21</v>
      </c>
      <c r="Y62" s="3" t="s">
        <v>20</v>
      </c>
    </row>
    <row r="63" spans="1:25" x14ac:dyDescent="0.25">
      <c r="A63" s="3" t="s">
        <v>28</v>
      </c>
      <c r="B63" s="3">
        <v>6641</v>
      </c>
      <c r="C63" s="3">
        <v>2</v>
      </c>
      <c r="D63" s="3">
        <v>2009</v>
      </c>
      <c r="E63" s="3">
        <v>2</v>
      </c>
      <c r="F63" s="3">
        <v>1050.1479999999999</v>
      </c>
      <c r="G63" s="3">
        <f t="shared" si="0"/>
        <v>0.45193776118543055</v>
      </c>
      <c r="J63" s="3">
        <v>0.24340000000000001</v>
      </c>
      <c r="K63" s="3">
        <v>573.26099999999997</v>
      </c>
      <c r="L63" s="3">
        <v>4647312.4850000003</v>
      </c>
      <c r="M63" s="3">
        <v>619.28</v>
      </c>
      <c r="N63" s="3">
        <v>472513</v>
      </c>
      <c r="O63" s="3" t="s">
        <v>28</v>
      </c>
      <c r="P63" s="3">
        <v>35.673299999999998</v>
      </c>
      <c r="Q63" s="3">
        <v>-91.408299999999997</v>
      </c>
      <c r="R63" s="3" t="s">
        <v>60</v>
      </c>
      <c r="S63" s="3" t="s">
        <v>25</v>
      </c>
      <c r="T63" s="3" t="s">
        <v>24</v>
      </c>
      <c r="U63" s="3" t="s">
        <v>23</v>
      </c>
      <c r="V63" s="3" t="s">
        <v>22</v>
      </c>
      <c r="X63" s="3" t="s">
        <v>21</v>
      </c>
      <c r="Y63" s="3" t="s">
        <v>20</v>
      </c>
    </row>
    <row r="64" spans="1:25" x14ac:dyDescent="0.25">
      <c r="A64" s="3" t="s">
        <v>28</v>
      </c>
      <c r="B64" s="3">
        <v>6641</v>
      </c>
      <c r="C64" s="3">
        <v>2</v>
      </c>
      <c r="D64" s="3">
        <v>2009</v>
      </c>
      <c r="E64" s="3">
        <v>3</v>
      </c>
      <c r="F64" s="3">
        <v>1259.634</v>
      </c>
      <c r="G64" s="3">
        <f t="shared" si="0"/>
        <v>0.4710160790267709</v>
      </c>
      <c r="J64" s="3">
        <v>0.22570000000000001</v>
      </c>
      <c r="K64" s="3">
        <v>618.47699999999998</v>
      </c>
      <c r="L64" s="3">
        <v>5348581.7410000004</v>
      </c>
      <c r="M64" s="3">
        <v>674.69</v>
      </c>
      <c r="N64" s="3">
        <v>555996</v>
      </c>
      <c r="O64" s="3" t="s">
        <v>28</v>
      </c>
      <c r="P64" s="3">
        <v>35.673299999999998</v>
      </c>
      <c r="Q64" s="3">
        <v>-91.408299999999997</v>
      </c>
      <c r="R64" s="3" t="s">
        <v>60</v>
      </c>
      <c r="S64" s="3" t="s">
        <v>25</v>
      </c>
      <c r="T64" s="3" t="s">
        <v>24</v>
      </c>
      <c r="U64" s="3" t="s">
        <v>23</v>
      </c>
      <c r="V64" s="3" t="s">
        <v>22</v>
      </c>
      <c r="X64" s="3" t="s">
        <v>21</v>
      </c>
      <c r="Y64" s="3" t="s">
        <v>20</v>
      </c>
    </row>
    <row r="65" spans="1:25" x14ac:dyDescent="0.25">
      <c r="A65" s="3" t="s">
        <v>28</v>
      </c>
      <c r="B65" s="3">
        <v>6641</v>
      </c>
      <c r="C65" s="3">
        <v>2</v>
      </c>
      <c r="D65" s="3">
        <v>2009</v>
      </c>
      <c r="E65" s="3">
        <v>4</v>
      </c>
      <c r="F65" s="3">
        <v>1422.481</v>
      </c>
      <c r="G65" s="3">
        <f t="shared" si="0"/>
        <v>0.49474016360380157</v>
      </c>
      <c r="J65" s="3">
        <v>0.26490000000000002</v>
      </c>
      <c r="K65" s="3">
        <v>763.75300000000004</v>
      </c>
      <c r="L65" s="3">
        <v>5750416.5</v>
      </c>
      <c r="M65" s="3">
        <v>720</v>
      </c>
      <c r="N65" s="3">
        <v>595450</v>
      </c>
      <c r="O65" s="3" t="s">
        <v>28</v>
      </c>
      <c r="P65" s="3">
        <v>35.673299999999998</v>
      </c>
      <c r="Q65" s="3">
        <v>-91.408299999999997</v>
      </c>
      <c r="R65" s="3" t="s">
        <v>60</v>
      </c>
      <c r="S65" s="3" t="s">
        <v>25</v>
      </c>
      <c r="T65" s="3" t="s">
        <v>24</v>
      </c>
      <c r="U65" s="3" t="s">
        <v>23</v>
      </c>
      <c r="V65" s="3" t="s">
        <v>22</v>
      </c>
      <c r="X65" s="3" t="s">
        <v>21</v>
      </c>
      <c r="Y65" s="3" t="s">
        <v>20</v>
      </c>
    </row>
    <row r="66" spans="1:25" x14ac:dyDescent="0.25">
      <c r="A66" s="3" t="s">
        <v>28</v>
      </c>
      <c r="B66" s="3">
        <v>6641</v>
      </c>
      <c r="C66" s="3">
        <v>2</v>
      </c>
      <c r="D66" s="3">
        <v>2009</v>
      </c>
      <c r="E66" s="3">
        <v>5</v>
      </c>
      <c r="F66" s="3">
        <v>1279.7919999999999</v>
      </c>
      <c r="G66" s="3">
        <f t="shared" ref="G66:G129" si="1">IF(F66="","",(F66*2000)/L66)</f>
        <v>0.49417544052078277</v>
      </c>
      <c r="J66" s="3">
        <v>0.27539999999999998</v>
      </c>
      <c r="K66" s="3">
        <v>715.90700000000004</v>
      </c>
      <c r="L66" s="3">
        <v>5179504.6660000002</v>
      </c>
      <c r="M66" s="3">
        <v>654.07000000000005</v>
      </c>
      <c r="N66" s="3">
        <v>521848</v>
      </c>
      <c r="O66" s="3" t="s">
        <v>28</v>
      </c>
      <c r="P66" s="3">
        <v>35.673299999999998</v>
      </c>
      <c r="Q66" s="3">
        <v>-91.408299999999997</v>
      </c>
      <c r="R66" s="3" t="s">
        <v>60</v>
      </c>
      <c r="S66" s="3" t="s">
        <v>25</v>
      </c>
      <c r="T66" s="3" t="s">
        <v>24</v>
      </c>
      <c r="U66" s="3" t="s">
        <v>23</v>
      </c>
      <c r="V66" s="3" t="s">
        <v>22</v>
      </c>
      <c r="X66" s="3" t="s">
        <v>21</v>
      </c>
      <c r="Y66" s="3" t="s">
        <v>20</v>
      </c>
    </row>
    <row r="67" spans="1:25" x14ac:dyDescent="0.25">
      <c r="A67" s="3" t="s">
        <v>28</v>
      </c>
      <c r="B67" s="3">
        <v>6641</v>
      </c>
      <c r="C67" s="3">
        <v>2</v>
      </c>
      <c r="D67" s="3">
        <v>2009</v>
      </c>
      <c r="E67" s="3">
        <v>6</v>
      </c>
      <c r="F67" s="3">
        <v>1383.57</v>
      </c>
      <c r="G67" s="3">
        <f t="shared" si="1"/>
        <v>0.46011243202128721</v>
      </c>
      <c r="J67" s="3">
        <v>0.25480000000000003</v>
      </c>
      <c r="K67" s="3">
        <v>767.84400000000005</v>
      </c>
      <c r="L67" s="3">
        <v>6014051.7999999998</v>
      </c>
      <c r="M67" s="3">
        <v>720</v>
      </c>
      <c r="N67" s="3">
        <v>595428</v>
      </c>
      <c r="O67" s="3" t="s">
        <v>28</v>
      </c>
      <c r="P67" s="3">
        <v>35.673299999999998</v>
      </c>
      <c r="Q67" s="3">
        <v>-91.408299999999997</v>
      </c>
      <c r="R67" s="3" t="s">
        <v>60</v>
      </c>
      <c r="S67" s="3" t="s">
        <v>25</v>
      </c>
      <c r="T67" s="3" t="s">
        <v>24</v>
      </c>
      <c r="U67" s="3" t="s">
        <v>23</v>
      </c>
      <c r="V67" s="3" t="s">
        <v>22</v>
      </c>
      <c r="X67" s="3" t="s">
        <v>21</v>
      </c>
      <c r="Y67" s="3" t="s">
        <v>20</v>
      </c>
    </row>
    <row r="68" spans="1:25" x14ac:dyDescent="0.25">
      <c r="A68" s="3" t="s">
        <v>28</v>
      </c>
      <c r="B68" s="3">
        <v>6641</v>
      </c>
      <c r="C68" s="3">
        <v>2</v>
      </c>
      <c r="D68" s="3">
        <v>2009</v>
      </c>
      <c r="E68" s="3">
        <v>7</v>
      </c>
      <c r="F68" s="3">
        <v>1440.8420000000001</v>
      </c>
      <c r="G68" s="3">
        <f t="shared" si="1"/>
        <v>0.45835151087761</v>
      </c>
      <c r="J68" s="3">
        <v>0.21049999999999999</v>
      </c>
      <c r="K68" s="3">
        <v>661.55499999999995</v>
      </c>
      <c r="L68" s="3">
        <v>6287061.2000000002</v>
      </c>
      <c r="M68" s="3">
        <v>744</v>
      </c>
      <c r="N68" s="3">
        <v>622058</v>
      </c>
      <c r="O68" s="3" t="s">
        <v>28</v>
      </c>
      <c r="P68" s="3">
        <v>35.673299999999998</v>
      </c>
      <c r="Q68" s="3">
        <v>-91.408299999999997</v>
      </c>
      <c r="R68" s="3" t="s">
        <v>60</v>
      </c>
      <c r="S68" s="3" t="s">
        <v>25</v>
      </c>
      <c r="T68" s="3" t="s">
        <v>24</v>
      </c>
      <c r="U68" s="3" t="s">
        <v>23</v>
      </c>
      <c r="V68" s="3" t="s">
        <v>22</v>
      </c>
      <c r="X68" s="3" t="s">
        <v>21</v>
      </c>
      <c r="Y68" s="3" t="s">
        <v>20</v>
      </c>
    </row>
    <row r="69" spans="1:25" x14ac:dyDescent="0.25">
      <c r="A69" s="3" t="s">
        <v>28</v>
      </c>
      <c r="B69" s="3">
        <v>6641</v>
      </c>
      <c r="C69" s="3">
        <v>2</v>
      </c>
      <c r="D69" s="3">
        <v>2009</v>
      </c>
      <c r="E69" s="3">
        <v>8</v>
      </c>
      <c r="F69" s="3">
        <v>1475.7550000000001</v>
      </c>
      <c r="G69" s="3">
        <f t="shared" si="1"/>
        <v>0.47803938294361398</v>
      </c>
      <c r="J69" s="3">
        <v>0.20280000000000001</v>
      </c>
      <c r="K69" s="3">
        <v>630.721</v>
      </c>
      <c r="L69" s="3">
        <v>6174198.4139999999</v>
      </c>
      <c r="M69" s="3">
        <v>742.47</v>
      </c>
      <c r="N69" s="3">
        <v>599027</v>
      </c>
      <c r="O69" s="3" t="s">
        <v>28</v>
      </c>
      <c r="P69" s="3">
        <v>35.673299999999998</v>
      </c>
      <c r="Q69" s="3">
        <v>-91.408299999999997</v>
      </c>
      <c r="R69" s="3" t="s">
        <v>60</v>
      </c>
      <c r="S69" s="3" t="s">
        <v>25</v>
      </c>
      <c r="T69" s="3" t="s">
        <v>24</v>
      </c>
      <c r="U69" s="3" t="s">
        <v>23</v>
      </c>
      <c r="V69" s="3" t="s">
        <v>22</v>
      </c>
      <c r="X69" s="3" t="s">
        <v>21</v>
      </c>
      <c r="Y69" s="3" t="s">
        <v>20</v>
      </c>
    </row>
    <row r="70" spans="1:25" x14ac:dyDescent="0.25">
      <c r="A70" s="3" t="s">
        <v>28</v>
      </c>
      <c r="B70" s="3">
        <v>6641</v>
      </c>
      <c r="C70" s="3">
        <v>2</v>
      </c>
      <c r="D70" s="3">
        <v>2009</v>
      </c>
      <c r="E70" s="3">
        <v>9</v>
      </c>
      <c r="F70" s="3">
        <v>1276.797</v>
      </c>
      <c r="G70" s="3">
        <f t="shared" si="1"/>
        <v>0.46089291172434294</v>
      </c>
      <c r="J70" s="3">
        <v>0.22090000000000001</v>
      </c>
      <c r="K70" s="3">
        <v>606.02599999999995</v>
      </c>
      <c r="L70" s="3">
        <v>5540536.5</v>
      </c>
      <c r="M70" s="3">
        <v>720</v>
      </c>
      <c r="N70" s="3">
        <v>552423</v>
      </c>
      <c r="O70" s="3" t="s">
        <v>28</v>
      </c>
      <c r="P70" s="3">
        <v>35.673299999999998</v>
      </c>
      <c r="Q70" s="3">
        <v>-91.408299999999997</v>
      </c>
      <c r="R70" s="3" t="s">
        <v>60</v>
      </c>
      <c r="S70" s="3" t="s">
        <v>25</v>
      </c>
      <c r="T70" s="3" t="s">
        <v>24</v>
      </c>
      <c r="U70" s="3" t="s">
        <v>23</v>
      </c>
      <c r="V70" s="3" t="s">
        <v>22</v>
      </c>
      <c r="X70" s="3" t="s">
        <v>21</v>
      </c>
      <c r="Y70" s="3" t="s">
        <v>20</v>
      </c>
    </row>
    <row r="71" spans="1:25" x14ac:dyDescent="0.25">
      <c r="A71" s="3" t="s">
        <v>28</v>
      </c>
      <c r="B71" s="3">
        <v>6641</v>
      </c>
      <c r="C71" s="3">
        <v>2</v>
      </c>
      <c r="D71" s="3">
        <v>2009</v>
      </c>
      <c r="E71" s="3">
        <v>10</v>
      </c>
      <c r="F71" s="3">
        <v>759.93299999999999</v>
      </c>
      <c r="G71" s="3">
        <f t="shared" si="1"/>
        <v>0.48590912578021345</v>
      </c>
      <c r="J71" s="3">
        <v>0.21690000000000001</v>
      </c>
      <c r="K71" s="3">
        <v>356.14400000000001</v>
      </c>
      <c r="L71" s="3">
        <v>3127881.16</v>
      </c>
      <c r="M71" s="3">
        <v>439.02</v>
      </c>
      <c r="N71" s="3">
        <v>319684</v>
      </c>
      <c r="O71" s="3" t="s">
        <v>28</v>
      </c>
      <c r="P71" s="3">
        <v>35.673299999999998</v>
      </c>
      <c r="Q71" s="3">
        <v>-91.408299999999997</v>
      </c>
      <c r="R71" s="3" t="s">
        <v>60</v>
      </c>
      <c r="S71" s="3" t="s">
        <v>25</v>
      </c>
      <c r="T71" s="3" t="s">
        <v>24</v>
      </c>
      <c r="U71" s="3" t="s">
        <v>23</v>
      </c>
      <c r="V71" s="3" t="s">
        <v>22</v>
      </c>
      <c r="X71" s="3" t="s">
        <v>21</v>
      </c>
      <c r="Y71" s="3" t="s">
        <v>20</v>
      </c>
    </row>
    <row r="72" spans="1:25" x14ac:dyDescent="0.25">
      <c r="A72" s="3" t="s">
        <v>28</v>
      </c>
      <c r="B72" s="3">
        <v>6641</v>
      </c>
      <c r="C72" s="3">
        <v>2</v>
      </c>
      <c r="D72" s="3">
        <v>2009</v>
      </c>
      <c r="E72" s="3">
        <v>11</v>
      </c>
      <c r="F72" s="3">
        <v>1289.27</v>
      </c>
      <c r="G72" s="3">
        <f t="shared" si="1"/>
        <v>0.46474492649159632</v>
      </c>
      <c r="J72" s="3">
        <v>0.22339999999999999</v>
      </c>
      <c r="K72" s="3">
        <v>622.42399999999998</v>
      </c>
      <c r="L72" s="3">
        <v>5548290.7999999998</v>
      </c>
      <c r="M72" s="3">
        <v>720</v>
      </c>
      <c r="N72" s="3">
        <v>564625</v>
      </c>
      <c r="O72" s="3" t="s">
        <v>28</v>
      </c>
      <c r="P72" s="3">
        <v>35.673299999999998</v>
      </c>
      <c r="Q72" s="3">
        <v>-91.408299999999997</v>
      </c>
      <c r="R72" s="3" t="s">
        <v>60</v>
      </c>
      <c r="S72" s="3" t="s">
        <v>25</v>
      </c>
      <c r="T72" s="3" t="s">
        <v>24</v>
      </c>
      <c r="U72" s="3" t="s">
        <v>23</v>
      </c>
      <c r="V72" s="3" t="s">
        <v>22</v>
      </c>
      <c r="X72" s="3" t="s">
        <v>21</v>
      </c>
      <c r="Y72" s="3" t="s">
        <v>20</v>
      </c>
    </row>
    <row r="73" spans="1:25" x14ac:dyDescent="0.25">
      <c r="A73" s="3" t="s">
        <v>28</v>
      </c>
      <c r="B73" s="3">
        <v>6641</v>
      </c>
      <c r="C73" s="3">
        <v>2</v>
      </c>
      <c r="D73" s="3">
        <v>2009</v>
      </c>
      <c r="E73" s="3">
        <v>12</v>
      </c>
      <c r="F73" s="3">
        <v>1256.921</v>
      </c>
      <c r="G73" s="3">
        <f t="shared" si="1"/>
        <v>0.45650071084388261</v>
      </c>
      <c r="H73" s="168">
        <f>AVERAGE(G62:G73)</f>
        <v>0.46986453864362837</v>
      </c>
      <c r="I73" s="168">
        <f>MAX(G62:G73)</f>
        <v>0.49474016360380157</v>
      </c>
      <c r="J73" s="3">
        <v>0.24729999999999999</v>
      </c>
      <c r="K73" s="3">
        <v>666.88599999999997</v>
      </c>
      <c r="L73" s="3">
        <v>5506764.7000000002</v>
      </c>
      <c r="M73" s="3">
        <v>744</v>
      </c>
      <c r="N73" s="3">
        <v>572799</v>
      </c>
      <c r="O73" s="3" t="s">
        <v>28</v>
      </c>
      <c r="P73" s="3">
        <v>35.673299999999998</v>
      </c>
      <c r="Q73" s="3">
        <v>-91.408299999999997</v>
      </c>
      <c r="R73" s="3" t="s">
        <v>60</v>
      </c>
      <c r="S73" s="3" t="s">
        <v>25</v>
      </c>
      <c r="T73" s="3" t="s">
        <v>24</v>
      </c>
      <c r="U73" s="3" t="s">
        <v>23</v>
      </c>
      <c r="V73" s="3" t="s">
        <v>22</v>
      </c>
      <c r="X73" s="3" t="s">
        <v>21</v>
      </c>
      <c r="Y73" s="3" t="s">
        <v>20</v>
      </c>
    </row>
    <row r="74" spans="1:25" x14ac:dyDescent="0.25">
      <c r="A74" s="3" t="s">
        <v>28</v>
      </c>
      <c r="B74" s="3">
        <v>6641</v>
      </c>
      <c r="C74" s="3">
        <v>2</v>
      </c>
      <c r="D74" s="3">
        <v>2010</v>
      </c>
      <c r="E74" s="3">
        <v>1</v>
      </c>
      <c r="F74" s="3">
        <v>1247.0029999999999</v>
      </c>
      <c r="G74" s="3">
        <f t="shared" si="1"/>
        <v>0.44624641613995553</v>
      </c>
      <c r="J74" s="3">
        <v>0.23669999999999999</v>
      </c>
      <c r="K74" s="3">
        <v>656.14599999999996</v>
      </c>
      <c r="L74" s="3">
        <v>5588853.8480000002</v>
      </c>
      <c r="M74" s="3">
        <v>742.97</v>
      </c>
      <c r="N74" s="3">
        <v>571670</v>
      </c>
      <c r="O74" s="3" t="s">
        <v>28</v>
      </c>
      <c r="P74" s="3">
        <v>35.673299999999998</v>
      </c>
      <c r="Q74" s="3">
        <v>-91.408299999999997</v>
      </c>
      <c r="R74" s="3" t="s">
        <v>60</v>
      </c>
      <c r="S74" s="3" t="s">
        <v>25</v>
      </c>
      <c r="T74" s="3" t="s">
        <v>24</v>
      </c>
      <c r="U74" s="3" t="s">
        <v>23</v>
      </c>
      <c r="V74" s="3" t="s">
        <v>22</v>
      </c>
      <c r="X74" s="3" t="s">
        <v>21</v>
      </c>
      <c r="Y74" s="3" t="s">
        <v>20</v>
      </c>
    </row>
    <row r="75" spans="1:25" x14ac:dyDescent="0.25">
      <c r="A75" s="3" t="s">
        <v>28</v>
      </c>
      <c r="B75" s="3">
        <v>6641</v>
      </c>
      <c r="C75" s="3">
        <v>2</v>
      </c>
      <c r="D75" s="3">
        <v>2010</v>
      </c>
      <c r="E75" s="3">
        <v>2</v>
      </c>
      <c r="F75" s="3">
        <v>1251.0719999999999</v>
      </c>
      <c r="G75" s="3">
        <f t="shared" si="1"/>
        <v>0.53719169638745212</v>
      </c>
      <c r="J75" s="3">
        <v>0.26600000000000001</v>
      </c>
      <c r="K75" s="3">
        <v>613.68899999999996</v>
      </c>
      <c r="L75" s="3">
        <v>4657823.3</v>
      </c>
      <c r="M75" s="3">
        <v>672</v>
      </c>
      <c r="N75" s="3">
        <v>535358</v>
      </c>
      <c r="O75" s="3" t="s">
        <v>28</v>
      </c>
      <c r="P75" s="3">
        <v>35.673299999999998</v>
      </c>
      <c r="Q75" s="3">
        <v>-91.408299999999997</v>
      </c>
      <c r="R75" s="3" t="s">
        <v>60</v>
      </c>
      <c r="S75" s="3" t="s">
        <v>25</v>
      </c>
      <c r="T75" s="3" t="s">
        <v>24</v>
      </c>
      <c r="U75" s="3" t="s">
        <v>23</v>
      </c>
      <c r="V75" s="3" t="s">
        <v>22</v>
      </c>
      <c r="X75" s="3" t="s">
        <v>21</v>
      </c>
      <c r="Y75" s="3" t="s">
        <v>20</v>
      </c>
    </row>
    <row r="76" spans="1:25" x14ac:dyDescent="0.25">
      <c r="A76" s="3" t="s">
        <v>28</v>
      </c>
      <c r="B76" s="3">
        <v>6641</v>
      </c>
      <c r="C76" s="3">
        <v>2</v>
      </c>
      <c r="D76" s="3">
        <v>2010</v>
      </c>
      <c r="E76" s="3">
        <v>3</v>
      </c>
      <c r="F76" s="3">
        <v>1268.8800000000001</v>
      </c>
      <c r="G76" s="3">
        <f t="shared" si="1"/>
        <v>0.48419326755453873</v>
      </c>
      <c r="J76" s="3">
        <v>0.2893</v>
      </c>
      <c r="K76" s="3">
        <v>758.12900000000002</v>
      </c>
      <c r="L76" s="3">
        <v>5241212.9000000004</v>
      </c>
      <c r="M76" s="3">
        <v>744</v>
      </c>
      <c r="N76" s="3">
        <v>606610</v>
      </c>
      <c r="O76" s="3" t="s">
        <v>28</v>
      </c>
      <c r="P76" s="3">
        <v>35.673299999999998</v>
      </c>
      <c r="Q76" s="3">
        <v>-91.408299999999997</v>
      </c>
      <c r="R76" s="3" t="s">
        <v>60</v>
      </c>
      <c r="S76" s="3" t="s">
        <v>25</v>
      </c>
      <c r="T76" s="3" t="s">
        <v>24</v>
      </c>
      <c r="U76" s="3" t="s">
        <v>23</v>
      </c>
      <c r="V76" s="3" t="s">
        <v>22</v>
      </c>
      <c r="X76" s="3" t="s">
        <v>21</v>
      </c>
      <c r="Y76" s="3" t="s">
        <v>20</v>
      </c>
    </row>
    <row r="77" spans="1:25" x14ac:dyDescent="0.25">
      <c r="A77" s="3" t="s">
        <v>28</v>
      </c>
      <c r="B77" s="3">
        <v>6641</v>
      </c>
      <c r="C77" s="3">
        <v>2</v>
      </c>
      <c r="D77" s="3">
        <v>2010</v>
      </c>
      <c r="E77" s="3">
        <v>4</v>
      </c>
      <c r="F77" s="3">
        <v>1366.4939999999999</v>
      </c>
      <c r="G77" s="3">
        <f t="shared" si="1"/>
        <v>0.52799399556332405</v>
      </c>
      <c r="J77" s="3">
        <v>0.28489999999999999</v>
      </c>
      <c r="K77" s="3">
        <v>733.72799999999995</v>
      </c>
      <c r="L77" s="3">
        <v>5176172.5</v>
      </c>
      <c r="M77" s="3">
        <v>720</v>
      </c>
      <c r="N77" s="3">
        <v>589684</v>
      </c>
      <c r="O77" s="3" t="s">
        <v>28</v>
      </c>
      <c r="P77" s="3">
        <v>35.673299999999998</v>
      </c>
      <c r="Q77" s="3">
        <v>-91.408299999999997</v>
      </c>
      <c r="R77" s="3" t="s">
        <v>60</v>
      </c>
      <c r="S77" s="3" t="s">
        <v>25</v>
      </c>
      <c r="T77" s="3" t="s">
        <v>24</v>
      </c>
      <c r="U77" s="3" t="s">
        <v>23</v>
      </c>
      <c r="V77" s="3" t="s">
        <v>22</v>
      </c>
      <c r="X77" s="3" t="s">
        <v>21</v>
      </c>
      <c r="Y77" s="3" t="s">
        <v>20</v>
      </c>
    </row>
    <row r="78" spans="1:25" x14ac:dyDescent="0.25">
      <c r="A78" s="3" t="s">
        <v>28</v>
      </c>
      <c r="B78" s="3">
        <v>6641</v>
      </c>
      <c r="C78" s="3">
        <v>2</v>
      </c>
      <c r="D78" s="3">
        <v>2010</v>
      </c>
      <c r="E78" s="3">
        <v>5</v>
      </c>
      <c r="F78" s="3">
        <v>1547.1079999999999</v>
      </c>
      <c r="G78" s="3">
        <f t="shared" si="1"/>
        <v>0.58280483368016645</v>
      </c>
      <c r="J78" s="3">
        <v>0.26129999999999998</v>
      </c>
      <c r="K78" s="3">
        <v>688.14700000000005</v>
      </c>
      <c r="L78" s="3">
        <v>5309180.4000000004</v>
      </c>
      <c r="M78" s="3">
        <v>744</v>
      </c>
      <c r="N78" s="3">
        <v>602781</v>
      </c>
      <c r="O78" s="3" t="s">
        <v>28</v>
      </c>
      <c r="P78" s="3">
        <v>35.673299999999998</v>
      </c>
      <c r="Q78" s="3">
        <v>-91.408299999999997</v>
      </c>
      <c r="R78" s="3" t="s">
        <v>60</v>
      </c>
      <c r="S78" s="3" t="s">
        <v>25</v>
      </c>
      <c r="T78" s="3" t="s">
        <v>24</v>
      </c>
      <c r="U78" s="3" t="s">
        <v>23</v>
      </c>
      <c r="V78" s="3" t="s">
        <v>22</v>
      </c>
      <c r="X78" s="3" t="s">
        <v>21</v>
      </c>
      <c r="Y78" s="3" t="s">
        <v>20</v>
      </c>
    </row>
    <row r="79" spans="1:25" x14ac:dyDescent="0.25">
      <c r="A79" s="3" t="s">
        <v>28</v>
      </c>
      <c r="B79" s="3">
        <v>6641</v>
      </c>
      <c r="C79" s="3">
        <v>2</v>
      </c>
      <c r="D79" s="3">
        <v>2010</v>
      </c>
      <c r="E79" s="3">
        <v>6</v>
      </c>
      <c r="F79" s="3">
        <v>1258.444</v>
      </c>
      <c r="G79" s="3">
        <f t="shared" si="1"/>
        <v>0.5178176793212711</v>
      </c>
      <c r="J79" s="3">
        <v>0.24440000000000001</v>
      </c>
      <c r="K79" s="3">
        <v>602.16600000000005</v>
      </c>
      <c r="L79" s="3">
        <v>4860567.9189999998</v>
      </c>
      <c r="M79" s="3">
        <v>639.45000000000005</v>
      </c>
      <c r="N79" s="3">
        <v>526236</v>
      </c>
      <c r="O79" s="3" t="s">
        <v>28</v>
      </c>
      <c r="P79" s="3">
        <v>35.673299999999998</v>
      </c>
      <c r="Q79" s="3">
        <v>-91.408299999999997</v>
      </c>
      <c r="R79" s="3" t="s">
        <v>60</v>
      </c>
      <c r="S79" s="3" t="s">
        <v>25</v>
      </c>
      <c r="T79" s="3" t="s">
        <v>24</v>
      </c>
      <c r="U79" s="3" t="s">
        <v>23</v>
      </c>
      <c r="V79" s="3" t="s">
        <v>22</v>
      </c>
      <c r="X79" s="3" t="s">
        <v>21</v>
      </c>
      <c r="Y79" s="3" t="s">
        <v>20</v>
      </c>
    </row>
    <row r="80" spans="1:25" x14ac:dyDescent="0.25">
      <c r="A80" s="3" t="s">
        <v>28</v>
      </c>
      <c r="B80" s="3">
        <v>6641</v>
      </c>
      <c r="C80" s="3">
        <v>2</v>
      </c>
      <c r="D80" s="3">
        <v>2010</v>
      </c>
      <c r="E80" s="3">
        <v>7</v>
      </c>
      <c r="F80" s="3">
        <v>1238.5340000000001</v>
      </c>
      <c r="G80" s="3">
        <f t="shared" si="1"/>
        <v>0.50855621584501276</v>
      </c>
      <c r="J80" s="3">
        <v>0.2172</v>
      </c>
      <c r="K80" s="3">
        <v>527.76599999999996</v>
      </c>
      <c r="L80" s="3">
        <v>4870785.0240000002</v>
      </c>
      <c r="M80" s="3">
        <v>641.36</v>
      </c>
      <c r="N80" s="3">
        <v>503568</v>
      </c>
      <c r="O80" s="3" t="s">
        <v>28</v>
      </c>
      <c r="P80" s="3">
        <v>35.673299999999998</v>
      </c>
      <c r="Q80" s="3">
        <v>-91.408299999999997</v>
      </c>
      <c r="R80" s="3" t="s">
        <v>60</v>
      </c>
      <c r="S80" s="3" t="s">
        <v>25</v>
      </c>
      <c r="T80" s="3" t="s">
        <v>24</v>
      </c>
      <c r="U80" s="3" t="s">
        <v>23</v>
      </c>
      <c r="V80" s="3" t="s">
        <v>22</v>
      </c>
      <c r="X80" s="3" t="s">
        <v>21</v>
      </c>
      <c r="Y80" s="3" t="s">
        <v>20</v>
      </c>
    </row>
    <row r="81" spans="1:25" x14ac:dyDescent="0.25">
      <c r="A81" s="3" t="s">
        <v>28</v>
      </c>
      <c r="B81" s="3">
        <v>6641</v>
      </c>
      <c r="C81" s="3">
        <v>2</v>
      </c>
      <c r="D81" s="3">
        <v>2010</v>
      </c>
      <c r="E81" s="3">
        <v>8</v>
      </c>
      <c r="F81" s="3">
        <v>1576.356</v>
      </c>
      <c r="G81" s="3">
        <f t="shared" si="1"/>
        <v>0.5134712606537104</v>
      </c>
      <c r="J81" s="3">
        <v>0.22700000000000001</v>
      </c>
      <c r="K81" s="3">
        <v>695.952</v>
      </c>
      <c r="L81" s="3">
        <v>6139997</v>
      </c>
      <c r="M81" s="3">
        <v>744</v>
      </c>
      <c r="N81" s="3">
        <v>625793</v>
      </c>
      <c r="O81" s="3" t="s">
        <v>28</v>
      </c>
      <c r="P81" s="3">
        <v>35.673299999999998</v>
      </c>
      <c r="Q81" s="3">
        <v>-91.408299999999997</v>
      </c>
      <c r="R81" s="3" t="s">
        <v>60</v>
      </c>
      <c r="S81" s="3" t="s">
        <v>25</v>
      </c>
      <c r="T81" s="3" t="s">
        <v>24</v>
      </c>
      <c r="U81" s="3" t="s">
        <v>23</v>
      </c>
      <c r="V81" s="3" t="s">
        <v>22</v>
      </c>
      <c r="X81" s="3" t="s">
        <v>21</v>
      </c>
      <c r="Y81" s="3" t="s">
        <v>20</v>
      </c>
    </row>
    <row r="82" spans="1:25" x14ac:dyDescent="0.25">
      <c r="A82" s="3" t="s">
        <v>28</v>
      </c>
      <c r="B82" s="3">
        <v>6641</v>
      </c>
      <c r="C82" s="3">
        <v>2</v>
      </c>
      <c r="D82" s="3">
        <v>2010</v>
      </c>
      <c r="E82" s="3">
        <v>9</v>
      </c>
      <c r="F82" s="3">
        <v>616.404</v>
      </c>
      <c r="G82" s="3">
        <f t="shared" si="1"/>
        <v>0.38680601254894481</v>
      </c>
      <c r="J82" s="3">
        <v>0.23319999999999999</v>
      </c>
      <c r="K82" s="3">
        <v>363.548</v>
      </c>
      <c r="L82" s="3">
        <v>3187147.9759999998</v>
      </c>
      <c r="M82" s="3">
        <v>405.59</v>
      </c>
      <c r="N82" s="3">
        <v>322282</v>
      </c>
      <c r="O82" s="3" t="s">
        <v>28</v>
      </c>
      <c r="P82" s="3">
        <v>35.673299999999998</v>
      </c>
      <c r="Q82" s="3">
        <v>-91.408299999999997</v>
      </c>
      <c r="R82" s="3" t="s">
        <v>60</v>
      </c>
      <c r="S82" s="3" t="s">
        <v>25</v>
      </c>
      <c r="T82" s="3" t="s">
        <v>24</v>
      </c>
      <c r="U82" s="3" t="s">
        <v>23</v>
      </c>
      <c r="V82" s="3" t="s">
        <v>22</v>
      </c>
      <c r="X82" s="3" t="s">
        <v>21</v>
      </c>
      <c r="Y82" s="3" t="s">
        <v>20</v>
      </c>
    </row>
    <row r="83" spans="1:25" x14ac:dyDescent="0.25">
      <c r="A83" s="3" t="s">
        <v>28</v>
      </c>
      <c r="B83" s="3">
        <v>6641</v>
      </c>
      <c r="C83" s="3">
        <v>2</v>
      </c>
      <c r="D83" s="3">
        <v>2010</v>
      </c>
      <c r="E83" s="3">
        <v>10</v>
      </c>
      <c r="F83" s="3">
        <v>103.895</v>
      </c>
      <c r="G83" s="3">
        <f t="shared" si="1"/>
        <v>0.42431801569120631</v>
      </c>
      <c r="J83" s="3">
        <v>0.20119999999999999</v>
      </c>
      <c r="K83" s="3">
        <v>57.761000000000003</v>
      </c>
      <c r="L83" s="3">
        <v>489703.45899999997</v>
      </c>
      <c r="M83" s="3">
        <v>142.75</v>
      </c>
      <c r="N83" s="3">
        <v>48954</v>
      </c>
      <c r="O83" s="3" t="s">
        <v>28</v>
      </c>
      <c r="P83" s="3">
        <v>35.673299999999998</v>
      </c>
      <c r="Q83" s="3">
        <v>-91.408299999999997</v>
      </c>
      <c r="R83" s="3" t="s">
        <v>60</v>
      </c>
      <c r="S83" s="3" t="s">
        <v>25</v>
      </c>
      <c r="T83" s="3" t="s">
        <v>24</v>
      </c>
      <c r="U83" s="3" t="s">
        <v>23</v>
      </c>
      <c r="V83" s="3" t="s">
        <v>22</v>
      </c>
      <c r="X83" s="3" t="s">
        <v>21</v>
      </c>
      <c r="Y83" s="3" t="s">
        <v>20</v>
      </c>
    </row>
    <row r="84" spans="1:25" x14ac:dyDescent="0.25">
      <c r="A84" s="3" t="s">
        <v>28</v>
      </c>
      <c r="B84" s="3">
        <v>6641</v>
      </c>
      <c r="C84" s="3">
        <v>2</v>
      </c>
      <c r="D84" s="3">
        <v>2010</v>
      </c>
      <c r="E84" s="3">
        <v>11</v>
      </c>
      <c r="F84" s="3">
        <v>1062.2760000000001</v>
      </c>
      <c r="G84" s="3">
        <f t="shared" si="1"/>
        <v>0.46090789169435126</v>
      </c>
      <c r="J84" s="3">
        <v>0.22470000000000001</v>
      </c>
      <c r="K84" s="3">
        <v>526.14499999999998</v>
      </c>
      <c r="L84" s="3">
        <v>4609493.6500000004</v>
      </c>
      <c r="M84" s="3">
        <v>644.79999999999995</v>
      </c>
      <c r="N84" s="3">
        <v>480932</v>
      </c>
      <c r="O84" s="3" t="s">
        <v>28</v>
      </c>
      <c r="P84" s="3">
        <v>35.673299999999998</v>
      </c>
      <c r="Q84" s="3">
        <v>-91.408299999999997</v>
      </c>
      <c r="R84" s="3" t="s">
        <v>60</v>
      </c>
      <c r="S84" s="3" t="s">
        <v>25</v>
      </c>
      <c r="T84" s="3" t="s">
        <v>24</v>
      </c>
      <c r="U84" s="3" t="s">
        <v>23</v>
      </c>
      <c r="V84" s="3" t="s">
        <v>22</v>
      </c>
      <c r="X84" s="3" t="s">
        <v>21</v>
      </c>
      <c r="Y84" s="3" t="s">
        <v>20</v>
      </c>
    </row>
    <row r="85" spans="1:25" x14ac:dyDescent="0.25">
      <c r="A85" s="3" t="s">
        <v>28</v>
      </c>
      <c r="B85" s="3">
        <v>6641</v>
      </c>
      <c r="C85" s="3">
        <v>2</v>
      </c>
      <c r="D85" s="3">
        <v>2010</v>
      </c>
      <c r="E85" s="3">
        <v>12</v>
      </c>
      <c r="F85" s="3">
        <v>1221.491</v>
      </c>
      <c r="G85" s="3">
        <f t="shared" si="1"/>
        <v>0.48911483237542802</v>
      </c>
      <c r="H85" s="168">
        <f>AVERAGE(G74:G85)</f>
        <v>0.4899518431212801</v>
      </c>
      <c r="I85" s="168">
        <f>MAX(G74:G85)</f>
        <v>0.58280483368016645</v>
      </c>
      <c r="J85" s="3">
        <v>0.22189999999999999</v>
      </c>
      <c r="K85" s="3">
        <v>554.79600000000005</v>
      </c>
      <c r="L85" s="3">
        <v>4994700.3</v>
      </c>
      <c r="M85" s="3">
        <v>744</v>
      </c>
      <c r="N85" s="3">
        <v>540103</v>
      </c>
      <c r="O85" s="3" t="s">
        <v>28</v>
      </c>
      <c r="P85" s="3">
        <v>35.673299999999998</v>
      </c>
      <c r="Q85" s="3">
        <v>-91.408299999999997</v>
      </c>
      <c r="R85" s="3" t="s">
        <v>60</v>
      </c>
      <c r="S85" s="3" t="s">
        <v>25</v>
      </c>
      <c r="T85" s="3" t="s">
        <v>24</v>
      </c>
      <c r="U85" s="3" t="s">
        <v>23</v>
      </c>
      <c r="V85" s="3" t="s">
        <v>22</v>
      </c>
      <c r="X85" s="3" t="s">
        <v>21</v>
      </c>
      <c r="Y85" s="3" t="s">
        <v>20</v>
      </c>
    </row>
    <row r="86" spans="1:25" x14ac:dyDescent="0.25">
      <c r="A86" s="3" t="s">
        <v>28</v>
      </c>
      <c r="B86" s="3">
        <v>6641</v>
      </c>
      <c r="C86" s="3">
        <v>2</v>
      </c>
      <c r="D86" s="3">
        <v>2011</v>
      </c>
      <c r="E86" s="3">
        <v>1</v>
      </c>
      <c r="F86" s="3">
        <v>1494.146</v>
      </c>
      <c r="G86" s="3">
        <f t="shared" si="1"/>
        <v>0.55228215999620267</v>
      </c>
      <c r="J86" s="3">
        <v>0.22720000000000001</v>
      </c>
      <c r="K86" s="3">
        <v>613.01499999999999</v>
      </c>
      <c r="L86" s="3">
        <v>5410806.6789999995</v>
      </c>
      <c r="M86" s="3">
        <v>743.73</v>
      </c>
      <c r="N86" s="3">
        <v>578969</v>
      </c>
      <c r="O86" s="3" t="s">
        <v>28</v>
      </c>
      <c r="P86" s="3">
        <v>35.673299999999998</v>
      </c>
      <c r="Q86" s="3">
        <v>-91.408299999999997</v>
      </c>
      <c r="R86" s="3" t="s">
        <v>60</v>
      </c>
      <c r="S86" s="3" t="s">
        <v>25</v>
      </c>
      <c r="T86" s="3" t="s">
        <v>24</v>
      </c>
      <c r="U86" s="3" t="s">
        <v>23</v>
      </c>
      <c r="V86" s="3" t="s">
        <v>22</v>
      </c>
      <c r="X86" s="3" t="s">
        <v>21</v>
      </c>
      <c r="Y86" s="3" t="s">
        <v>20</v>
      </c>
    </row>
    <row r="87" spans="1:25" x14ac:dyDescent="0.25">
      <c r="A87" s="3" t="s">
        <v>28</v>
      </c>
      <c r="B87" s="3">
        <v>6641</v>
      </c>
      <c r="C87" s="3">
        <v>2</v>
      </c>
      <c r="D87" s="3">
        <v>2011</v>
      </c>
      <c r="E87" s="3">
        <v>2</v>
      </c>
      <c r="F87" s="3">
        <v>1211.0060000000001</v>
      </c>
      <c r="G87" s="3">
        <f t="shared" si="1"/>
        <v>0.50908598373421599</v>
      </c>
      <c r="J87" s="3">
        <v>0.23519999999999999</v>
      </c>
      <c r="K87" s="3">
        <v>557.98099999999999</v>
      </c>
      <c r="L87" s="3">
        <v>4757569.5999999996</v>
      </c>
      <c r="M87" s="3">
        <v>672</v>
      </c>
      <c r="N87" s="3">
        <v>504825</v>
      </c>
      <c r="O87" s="3" t="s">
        <v>28</v>
      </c>
      <c r="P87" s="3">
        <v>35.673299999999998</v>
      </c>
      <c r="Q87" s="3">
        <v>-91.408299999999997</v>
      </c>
      <c r="R87" s="3" t="s">
        <v>60</v>
      </c>
      <c r="S87" s="3" t="s">
        <v>25</v>
      </c>
      <c r="T87" s="3" t="s">
        <v>24</v>
      </c>
      <c r="U87" s="3" t="s">
        <v>23</v>
      </c>
      <c r="V87" s="3" t="s">
        <v>22</v>
      </c>
      <c r="X87" s="3" t="s">
        <v>21</v>
      </c>
      <c r="Y87" s="3" t="s">
        <v>20</v>
      </c>
    </row>
    <row r="88" spans="1:25" x14ac:dyDescent="0.25">
      <c r="A88" s="3" t="s">
        <v>28</v>
      </c>
      <c r="B88" s="3">
        <v>6641</v>
      </c>
      <c r="C88" s="3">
        <v>2</v>
      </c>
      <c r="D88" s="3">
        <v>2011</v>
      </c>
      <c r="E88" s="3">
        <v>3</v>
      </c>
      <c r="F88" s="3">
        <v>853.12599999999998</v>
      </c>
      <c r="G88" s="3">
        <f t="shared" si="1"/>
        <v>0.44572886760882541</v>
      </c>
      <c r="J88" s="3">
        <v>0.22819999999999999</v>
      </c>
      <c r="K88" s="3">
        <v>446.71899999999999</v>
      </c>
      <c r="L88" s="3">
        <v>3828004.2510000002</v>
      </c>
      <c r="M88" s="3">
        <v>526.73</v>
      </c>
      <c r="N88" s="3">
        <v>402324</v>
      </c>
      <c r="O88" s="3" t="s">
        <v>28</v>
      </c>
      <c r="P88" s="3">
        <v>35.673299999999998</v>
      </c>
      <c r="Q88" s="3">
        <v>-91.408299999999997</v>
      </c>
      <c r="R88" s="3" t="s">
        <v>60</v>
      </c>
      <c r="S88" s="3" t="s">
        <v>25</v>
      </c>
      <c r="T88" s="3" t="s">
        <v>24</v>
      </c>
      <c r="U88" s="3" t="s">
        <v>23</v>
      </c>
      <c r="V88" s="3" t="s">
        <v>22</v>
      </c>
      <c r="X88" s="3" t="s">
        <v>21</v>
      </c>
      <c r="Y88" s="3" t="s">
        <v>20</v>
      </c>
    </row>
    <row r="89" spans="1:25" x14ac:dyDescent="0.25">
      <c r="A89" s="3" t="s">
        <v>28</v>
      </c>
      <c r="B89" s="3">
        <v>6641</v>
      </c>
      <c r="C89" s="3">
        <v>2</v>
      </c>
      <c r="D89" s="3">
        <v>2011</v>
      </c>
      <c r="E89" s="3">
        <v>4</v>
      </c>
      <c r="F89" s="3">
        <v>1358.1</v>
      </c>
      <c r="G89" s="3">
        <f t="shared" si="1"/>
        <v>0.52528673931785941</v>
      </c>
      <c r="J89" s="3">
        <v>0.2447</v>
      </c>
      <c r="K89" s="3">
        <v>634.66999999999996</v>
      </c>
      <c r="L89" s="3">
        <v>5170890.0999999996</v>
      </c>
      <c r="M89" s="3">
        <v>720</v>
      </c>
      <c r="N89" s="3">
        <v>539242</v>
      </c>
      <c r="O89" s="3" t="s">
        <v>28</v>
      </c>
      <c r="P89" s="3">
        <v>35.673299999999998</v>
      </c>
      <c r="Q89" s="3">
        <v>-91.408299999999997</v>
      </c>
      <c r="R89" s="3" t="s">
        <v>60</v>
      </c>
      <c r="S89" s="3" t="s">
        <v>25</v>
      </c>
      <c r="T89" s="3" t="s">
        <v>24</v>
      </c>
      <c r="U89" s="3" t="s">
        <v>23</v>
      </c>
      <c r="V89" s="3" t="s">
        <v>22</v>
      </c>
      <c r="X89" s="3" t="s">
        <v>21</v>
      </c>
      <c r="Y89" s="3" t="s">
        <v>20</v>
      </c>
    </row>
    <row r="90" spans="1:25" x14ac:dyDescent="0.25">
      <c r="A90" s="3" t="s">
        <v>28</v>
      </c>
      <c r="B90" s="3">
        <v>6641</v>
      </c>
      <c r="C90" s="3">
        <v>2</v>
      </c>
      <c r="D90" s="3">
        <v>2011</v>
      </c>
      <c r="E90" s="3">
        <v>5</v>
      </c>
      <c r="F90" s="3">
        <v>1016.419</v>
      </c>
      <c r="G90" s="3">
        <f t="shared" si="1"/>
        <v>0.5166004867257401</v>
      </c>
      <c r="J90" s="3">
        <v>0.25700000000000001</v>
      </c>
      <c r="K90" s="3">
        <v>490.64800000000002</v>
      </c>
      <c r="L90" s="3">
        <v>3935029.2</v>
      </c>
      <c r="M90" s="3">
        <v>744</v>
      </c>
      <c r="N90" s="3">
        <v>402603</v>
      </c>
      <c r="O90" s="3" t="s">
        <v>28</v>
      </c>
      <c r="P90" s="3">
        <v>35.673299999999998</v>
      </c>
      <c r="Q90" s="3">
        <v>-91.408299999999997</v>
      </c>
      <c r="R90" s="3" t="s">
        <v>60</v>
      </c>
      <c r="S90" s="3" t="s">
        <v>25</v>
      </c>
      <c r="T90" s="3" t="s">
        <v>24</v>
      </c>
      <c r="U90" s="3" t="s">
        <v>23</v>
      </c>
      <c r="V90" s="3" t="s">
        <v>22</v>
      </c>
      <c r="X90" s="3" t="s">
        <v>21</v>
      </c>
      <c r="Y90" s="3" t="s">
        <v>20</v>
      </c>
    </row>
    <row r="91" spans="1:25" x14ac:dyDescent="0.25">
      <c r="A91" s="3" t="s">
        <v>28</v>
      </c>
      <c r="B91" s="3">
        <v>6641</v>
      </c>
      <c r="C91" s="3">
        <v>2</v>
      </c>
      <c r="D91" s="3">
        <v>2011</v>
      </c>
      <c r="E91" s="3">
        <v>6</v>
      </c>
      <c r="F91" s="3">
        <v>1232.873</v>
      </c>
      <c r="G91" s="3">
        <f t="shared" si="1"/>
        <v>0.54416389447990787</v>
      </c>
      <c r="J91" s="3">
        <v>0.22109999999999999</v>
      </c>
      <c r="K91" s="3">
        <v>509.89800000000002</v>
      </c>
      <c r="L91" s="3">
        <v>4531256.1619999995</v>
      </c>
      <c r="M91" s="3">
        <v>648.83000000000004</v>
      </c>
      <c r="N91" s="3">
        <v>462015</v>
      </c>
      <c r="O91" s="3" t="s">
        <v>28</v>
      </c>
      <c r="P91" s="3">
        <v>35.673299999999998</v>
      </c>
      <c r="Q91" s="3">
        <v>-91.408299999999997</v>
      </c>
      <c r="R91" s="3" t="s">
        <v>60</v>
      </c>
      <c r="S91" s="3" t="s">
        <v>25</v>
      </c>
      <c r="T91" s="3" t="s">
        <v>24</v>
      </c>
      <c r="U91" s="3" t="s">
        <v>23</v>
      </c>
      <c r="V91" s="3" t="s">
        <v>22</v>
      </c>
      <c r="X91" s="3" t="s">
        <v>21</v>
      </c>
      <c r="Y91" s="3" t="s">
        <v>20</v>
      </c>
    </row>
    <row r="92" spans="1:25" x14ac:dyDescent="0.25">
      <c r="A92" s="3" t="s">
        <v>28</v>
      </c>
      <c r="B92" s="3">
        <v>6641</v>
      </c>
      <c r="C92" s="3">
        <v>2</v>
      </c>
      <c r="D92" s="3">
        <v>2011</v>
      </c>
      <c r="E92" s="3">
        <v>7</v>
      </c>
      <c r="F92" s="3">
        <v>1718.039</v>
      </c>
      <c r="G92" s="3">
        <f t="shared" si="1"/>
        <v>0.55914131772589892</v>
      </c>
      <c r="J92" s="3">
        <v>0.22370000000000001</v>
      </c>
      <c r="K92" s="3">
        <v>690.84299999999996</v>
      </c>
      <c r="L92" s="3">
        <v>6145276.5</v>
      </c>
      <c r="M92" s="3">
        <v>744</v>
      </c>
      <c r="N92" s="3">
        <v>619454</v>
      </c>
      <c r="O92" s="3" t="s">
        <v>28</v>
      </c>
      <c r="P92" s="3">
        <v>35.673299999999998</v>
      </c>
      <c r="Q92" s="3">
        <v>-91.408299999999997</v>
      </c>
      <c r="R92" s="3" t="s">
        <v>60</v>
      </c>
      <c r="S92" s="3" t="s">
        <v>25</v>
      </c>
      <c r="T92" s="3" t="s">
        <v>24</v>
      </c>
      <c r="U92" s="3" t="s">
        <v>23</v>
      </c>
      <c r="V92" s="3" t="s">
        <v>22</v>
      </c>
      <c r="X92" s="3" t="s">
        <v>21</v>
      </c>
      <c r="Y92" s="3" t="s">
        <v>20</v>
      </c>
    </row>
    <row r="93" spans="1:25" x14ac:dyDescent="0.25">
      <c r="A93" s="3" t="s">
        <v>28</v>
      </c>
      <c r="B93" s="3">
        <v>6641</v>
      </c>
      <c r="C93" s="3">
        <v>2</v>
      </c>
      <c r="D93" s="3">
        <v>2011</v>
      </c>
      <c r="E93" s="3">
        <v>8</v>
      </c>
      <c r="F93" s="3">
        <v>1432.63</v>
      </c>
      <c r="G93" s="3">
        <f t="shared" si="1"/>
        <v>0.562268157131387</v>
      </c>
      <c r="J93" s="3">
        <v>0.21629999999999999</v>
      </c>
      <c r="K93" s="3">
        <v>560.60699999999997</v>
      </c>
      <c r="L93" s="3">
        <v>5095895.9060000004</v>
      </c>
      <c r="M93" s="3">
        <v>724.69</v>
      </c>
      <c r="N93" s="3">
        <v>510997</v>
      </c>
      <c r="O93" s="3" t="s">
        <v>28</v>
      </c>
      <c r="P93" s="3">
        <v>35.673299999999998</v>
      </c>
      <c r="Q93" s="3">
        <v>-91.408299999999997</v>
      </c>
      <c r="R93" s="3" t="s">
        <v>60</v>
      </c>
      <c r="S93" s="3" t="s">
        <v>25</v>
      </c>
      <c r="T93" s="3" t="s">
        <v>24</v>
      </c>
      <c r="U93" s="3" t="s">
        <v>23</v>
      </c>
      <c r="V93" s="3" t="s">
        <v>22</v>
      </c>
      <c r="X93" s="3" t="s">
        <v>21</v>
      </c>
      <c r="Y93" s="3" t="s">
        <v>20</v>
      </c>
    </row>
    <row r="94" spans="1:25" x14ac:dyDescent="0.25">
      <c r="A94" s="3" t="s">
        <v>28</v>
      </c>
      <c r="B94" s="3">
        <v>6641</v>
      </c>
      <c r="C94" s="3">
        <v>2</v>
      </c>
      <c r="D94" s="3">
        <v>2011</v>
      </c>
      <c r="E94" s="3">
        <v>9</v>
      </c>
      <c r="F94" s="3">
        <v>511.56400000000002</v>
      </c>
      <c r="G94" s="3">
        <f t="shared" si="1"/>
        <v>0.50776947905072745</v>
      </c>
      <c r="J94" s="3">
        <v>0.2</v>
      </c>
      <c r="K94" s="3">
        <v>210.58099999999999</v>
      </c>
      <c r="L94" s="3">
        <v>2014945.841</v>
      </c>
      <c r="M94" s="3">
        <v>367.17</v>
      </c>
      <c r="N94" s="3">
        <v>198906</v>
      </c>
      <c r="O94" s="3" t="s">
        <v>28</v>
      </c>
      <c r="P94" s="3">
        <v>35.673299999999998</v>
      </c>
      <c r="Q94" s="3">
        <v>-91.408299999999997</v>
      </c>
      <c r="R94" s="3" t="s">
        <v>60</v>
      </c>
      <c r="S94" s="3" t="s">
        <v>25</v>
      </c>
      <c r="T94" s="3" t="s">
        <v>24</v>
      </c>
      <c r="U94" s="3" t="s">
        <v>23</v>
      </c>
      <c r="V94" s="3" t="s">
        <v>22</v>
      </c>
      <c r="X94" s="3" t="s">
        <v>21</v>
      </c>
      <c r="Y94" s="3" t="s">
        <v>20</v>
      </c>
    </row>
    <row r="95" spans="1:25" x14ac:dyDescent="0.25">
      <c r="A95" s="3" t="s">
        <v>28</v>
      </c>
      <c r="B95" s="3">
        <v>6641</v>
      </c>
      <c r="C95" s="3">
        <v>2</v>
      </c>
      <c r="D95" s="3">
        <v>2011</v>
      </c>
      <c r="E95" s="3">
        <v>10</v>
      </c>
      <c r="F95" s="3">
        <v>1569.104</v>
      </c>
      <c r="G95" s="3">
        <f t="shared" si="1"/>
        <v>0.52884565801329397</v>
      </c>
      <c r="J95" s="3">
        <v>0.22650000000000001</v>
      </c>
      <c r="K95" s="3">
        <v>668.77</v>
      </c>
      <c r="L95" s="3">
        <v>5934071.5999999996</v>
      </c>
      <c r="M95" s="3">
        <v>744</v>
      </c>
      <c r="N95" s="3">
        <v>569538</v>
      </c>
      <c r="O95" s="3" t="s">
        <v>28</v>
      </c>
      <c r="P95" s="3">
        <v>35.673299999999998</v>
      </c>
      <c r="Q95" s="3">
        <v>-91.408299999999997</v>
      </c>
      <c r="R95" s="3" t="s">
        <v>60</v>
      </c>
      <c r="S95" s="3" t="s">
        <v>25</v>
      </c>
      <c r="T95" s="3" t="s">
        <v>24</v>
      </c>
      <c r="U95" s="3" t="s">
        <v>23</v>
      </c>
      <c r="V95" s="3" t="s">
        <v>22</v>
      </c>
      <c r="X95" s="3" t="s">
        <v>21</v>
      </c>
      <c r="Y95" s="3" t="s">
        <v>20</v>
      </c>
    </row>
    <row r="96" spans="1:25" x14ac:dyDescent="0.25">
      <c r="A96" s="3" t="s">
        <v>28</v>
      </c>
      <c r="B96" s="3">
        <v>6641</v>
      </c>
      <c r="C96" s="3">
        <v>2</v>
      </c>
      <c r="D96" s="3">
        <v>2011</v>
      </c>
      <c r="E96" s="3">
        <v>11</v>
      </c>
      <c r="F96" s="3">
        <v>1515.6079999999999</v>
      </c>
      <c r="G96" s="3">
        <f t="shared" si="1"/>
        <v>0.5738338883091012</v>
      </c>
      <c r="J96" s="3">
        <v>0.22109999999999999</v>
      </c>
      <c r="K96" s="3">
        <v>584.71799999999996</v>
      </c>
      <c r="L96" s="3">
        <v>5282392.8</v>
      </c>
      <c r="M96" s="3">
        <v>720</v>
      </c>
      <c r="N96" s="3">
        <v>509461</v>
      </c>
      <c r="O96" s="3" t="s">
        <v>28</v>
      </c>
      <c r="P96" s="3">
        <v>35.673299999999998</v>
      </c>
      <c r="Q96" s="3">
        <v>-91.408299999999997</v>
      </c>
      <c r="R96" s="3" t="s">
        <v>60</v>
      </c>
      <c r="S96" s="3" t="s">
        <v>25</v>
      </c>
      <c r="T96" s="3" t="s">
        <v>24</v>
      </c>
      <c r="U96" s="3" t="s">
        <v>23</v>
      </c>
      <c r="V96" s="3" t="s">
        <v>22</v>
      </c>
      <c r="X96" s="3" t="s">
        <v>21</v>
      </c>
      <c r="Y96" s="3" t="s">
        <v>20</v>
      </c>
    </row>
    <row r="97" spans="1:25" x14ac:dyDescent="0.25">
      <c r="A97" s="3" t="s">
        <v>28</v>
      </c>
      <c r="B97" s="3">
        <v>6641</v>
      </c>
      <c r="C97" s="3">
        <v>2</v>
      </c>
      <c r="D97" s="3">
        <v>2011</v>
      </c>
      <c r="E97" s="3">
        <v>12</v>
      </c>
      <c r="F97" s="3">
        <v>1177.4929999999999</v>
      </c>
      <c r="G97" s="3">
        <f t="shared" si="1"/>
        <v>0.56515124465578803</v>
      </c>
      <c r="H97" s="168">
        <f>AVERAGE(G86:G97)</f>
        <v>0.5325131563957457</v>
      </c>
      <c r="I97" s="168">
        <f>MAX(G86:G97)</f>
        <v>0.5738338883091012</v>
      </c>
      <c r="J97" s="3">
        <v>0.20660000000000001</v>
      </c>
      <c r="K97" s="3">
        <v>428.91899999999998</v>
      </c>
      <c r="L97" s="3">
        <v>4167001.3509999998</v>
      </c>
      <c r="M97" s="3">
        <v>669</v>
      </c>
      <c r="N97" s="3">
        <v>394966</v>
      </c>
      <c r="O97" s="3" t="s">
        <v>28</v>
      </c>
      <c r="P97" s="3">
        <v>35.673299999999998</v>
      </c>
      <c r="Q97" s="3">
        <v>-91.408299999999997</v>
      </c>
      <c r="R97" s="3" t="s">
        <v>60</v>
      </c>
      <c r="S97" s="3" t="s">
        <v>25</v>
      </c>
      <c r="T97" s="3" t="s">
        <v>24</v>
      </c>
      <c r="U97" s="3" t="s">
        <v>23</v>
      </c>
      <c r="V97" s="3" t="s">
        <v>22</v>
      </c>
      <c r="X97" s="3" t="s">
        <v>21</v>
      </c>
      <c r="Y97" s="3" t="s">
        <v>20</v>
      </c>
    </row>
    <row r="98" spans="1:25" x14ac:dyDescent="0.25">
      <c r="A98" s="3" t="s">
        <v>28</v>
      </c>
      <c r="B98" s="3">
        <v>6641</v>
      </c>
      <c r="C98" s="3">
        <v>2</v>
      </c>
      <c r="D98" s="3">
        <v>2012</v>
      </c>
      <c r="E98" s="3">
        <v>1</v>
      </c>
      <c r="F98" s="3">
        <v>1827.9</v>
      </c>
      <c r="G98" s="3">
        <f t="shared" si="1"/>
        <v>0.60636178302607968</v>
      </c>
      <c r="J98" s="3">
        <v>0.2014</v>
      </c>
      <c r="K98" s="3">
        <v>599.38499999999999</v>
      </c>
      <c r="L98" s="3">
        <v>6029073.9000000004</v>
      </c>
      <c r="M98" s="3">
        <v>744</v>
      </c>
      <c r="N98" s="3">
        <v>576879</v>
      </c>
      <c r="O98" s="3" t="s">
        <v>28</v>
      </c>
      <c r="P98" s="3">
        <v>35.673299999999998</v>
      </c>
      <c r="Q98" s="3">
        <v>-91.408299999999997</v>
      </c>
      <c r="R98" s="3" t="s">
        <v>60</v>
      </c>
      <c r="S98" s="3" t="s">
        <v>25</v>
      </c>
      <c r="T98" s="3" t="s">
        <v>24</v>
      </c>
      <c r="U98" s="3" t="s">
        <v>23</v>
      </c>
      <c r="V98" s="3" t="s">
        <v>22</v>
      </c>
      <c r="X98" s="3" t="s">
        <v>21</v>
      </c>
      <c r="Y98" s="3" t="s">
        <v>20</v>
      </c>
    </row>
    <row r="99" spans="1:25" x14ac:dyDescent="0.25">
      <c r="A99" s="3" t="s">
        <v>28</v>
      </c>
      <c r="B99" s="3">
        <v>6641</v>
      </c>
      <c r="C99" s="3">
        <v>2</v>
      </c>
      <c r="D99" s="3">
        <v>2012</v>
      </c>
      <c r="E99" s="3">
        <v>2</v>
      </c>
      <c r="F99" s="3">
        <v>1748.74</v>
      </c>
      <c r="G99" s="3">
        <f t="shared" si="1"/>
        <v>0.60456457420096377</v>
      </c>
      <c r="J99" s="3">
        <v>0.2074</v>
      </c>
      <c r="K99" s="3">
        <v>599.875</v>
      </c>
      <c r="L99" s="3">
        <v>5785122.2999999998</v>
      </c>
      <c r="M99" s="3">
        <v>696</v>
      </c>
      <c r="N99" s="3">
        <v>550729</v>
      </c>
      <c r="O99" s="3" t="s">
        <v>28</v>
      </c>
      <c r="P99" s="3">
        <v>35.673299999999998</v>
      </c>
      <c r="Q99" s="3">
        <v>-91.408299999999997</v>
      </c>
      <c r="R99" s="3" t="s">
        <v>60</v>
      </c>
      <c r="S99" s="3" t="s">
        <v>25</v>
      </c>
      <c r="T99" s="3" t="s">
        <v>24</v>
      </c>
      <c r="U99" s="3" t="s">
        <v>23</v>
      </c>
      <c r="V99" s="3" t="s">
        <v>22</v>
      </c>
      <c r="X99" s="3" t="s">
        <v>21</v>
      </c>
      <c r="Y99" s="3" t="s">
        <v>20</v>
      </c>
    </row>
    <row r="100" spans="1:25" x14ac:dyDescent="0.25">
      <c r="A100" s="3" t="s">
        <v>28</v>
      </c>
      <c r="B100" s="3">
        <v>6641</v>
      </c>
      <c r="C100" s="3">
        <v>2</v>
      </c>
      <c r="D100" s="3">
        <v>2012</v>
      </c>
      <c r="E100" s="3">
        <v>3</v>
      </c>
      <c r="F100" s="3">
        <v>1719.579</v>
      </c>
      <c r="G100" s="3">
        <f t="shared" si="1"/>
        <v>0.57551737078124277</v>
      </c>
      <c r="J100" s="3">
        <v>0.1913</v>
      </c>
      <c r="K100" s="3">
        <v>569.678</v>
      </c>
      <c r="L100" s="3">
        <v>5975767.5</v>
      </c>
      <c r="M100" s="3">
        <v>744</v>
      </c>
      <c r="N100" s="3">
        <v>547810</v>
      </c>
      <c r="O100" s="3" t="s">
        <v>28</v>
      </c>
      <c r="P100" s="3">
        <v>35.673299999999998</v>
      </c>
      <c r="Q100" s="3">
        <v>-91.408299999999997</v>
      </c>
      <c r="R100" s="3" t="s">
        <v>60</v>
      </c>
      <c r="S100" s="3" t="s">
        <v>25</v>
      </c>
      <c r="T100" s="3" t="s">
        <v>24</v>
      </c>
      <c r="U100" s="3" t="s">
        <v>23</v>
      </c>
      <c r="V100" s="3" t="s">
        <v>22</v>
      </c>
      <c r="X100" s="3" t="s">
        <v>21</v>
      </c>
      <c r="Y100" s="3" t="s">
        <v>20</v>
      </c>
    </row>
    <row r="101" spans="1:25" x14ac:dyDescent="0.25">
      <c r="A101" s="3" t="s">
        <v>28</v>
      </c>
      <c r="B101" s="3">
        <v>6641</v>
      </c>
      <c r="C101" s="3">
        <v>2</v>
      </c>
      <c r="D101" s="3">
        <v>2012</v>
      </c>
      <c r="E101" s="3">
        <v>4</v>
      </c>
      <c r="F101" s="3">
        <v>1512.4929999999999</v>
      </c>
      <c r="G101" s="3">
        <f t="shared" si="1"/>
        <v>0.60830051511729299</v>
      </c>
      <c r="J101" s="3">
        <v>0.17510000000000001</v>
      </c>
      <c r="K101" s="3">
        <v>434.37400000000002</v>
      </c>
      <c r="L101" s="3">
        <v>4972848</v>
      </c>
      <c r="M101" s="3">
        <v>720</v>
      </c>
      <c r="N101" s="3">
        <v>465121</v>
      </c>
      <c r="O101" s="3" t="s">
        <v>28</v>
      </c>
      <c r="P101" s="3">
        <v>35.673299999999998</v>
      </c>
      <c r="Q101" s="3">
        <v>-91.408299999999997</v>
      </c>
      <c r="R101" s="3" t="s">
        <v>60</v>
      </c>
      <c r="S101" s="3" t="s">
        <v>25</v>
      </c>
      <c r="T101" s="3" t="s">
        <v>24</v>
      </c>
      <c r="U101" s="3" t="s">
        <v>23</v>
      </c>
      <c r="V101" s="3" t="s">
        <v>22</v>
      </c>
      <c r="X101" s="3" t="s">
        <v>21</v>
      </c>
      <c r="Y101" s="3" t="s">
        <v>20</v>
      </c>
    </row>
    <row r="102" spans="1:25" x14ac:dyDescent="0.25">
      <c r="A102" s="3" t="s">
        <v>28</v>
      </c>
      <c r="B102" s="3">
        <v>6641</v>
      </c>
      <c r="C102" s="3">
        <v>2</v>
      </c>
      <c r="D102" s="3">
        <v>2012</v>
      </c>
      <c r="E102" s="3">
        <v>5</v>
      </c>
      <c r="F102" s="3">
        <v>1972.4280000000001</v>
      </c>
      <c r="G102" s="3">
        <f t="shared" si="1"/>
        <v>0.61150676379846403</v>
      </c>
      <c r="J102" s="3">
        <v>0.182</v>
      </c>
      <c r="K102" s="3">
        <v>594.91</v>
      </c>
      <c r="L102" s="3">
        <v>6451042.2999999998</v>
      </c>
      <c r="M102" s="3">
        <v>744</v>
      </c>
      <c r="N102" s="3">
        <v>575963</v>
      </c>
      <c r="O102" s="3" t="s">
        <v>28</v>
      </c>
      <c r="P102" s="3">
        <v>35.673299999999998</v>
      </c>
      <c r="Q102" s="3">
        <v>-91.408299999999997</v>
      </c>
      <c r="R102" s="3" t="s">
        <v>60</v>
      </c>
      <c r="S102" s="3" t="s">
        <v>25</v>
      </c>
      <c r="T102" s="3" t="s">
        <v>24</v>
      </c>
      <c r="U102" s="3" t="s">
        <v>23</v>
      </c>
      <c r="V102" s="3" t="s">
        <v>22</v>
      </c>
      <c r="X102" s="3" t="s">
        <v>21</v>
      </c>
      <c r="Y102" s="3" t="s">
        <v>20</v>
      </c>
    </row>
    <row r="103" spans="1:25" x14ac:dyDescent="0.25">
      <c r="A103" s="3" t="s">
        <v>28</v>
      </c>
      <c r="B103" s="3">
        <v>6641</v>
      </c>
      <c r="C103" s="3">
        <v>2</v>
      </c>
      <c r="D103" s="3">
        <v>2012</v>
      </c>
      <c r="E103" s="3">
        <v>6</v>
      </c>
      <c r="F103" s="3">
        <v>1806.742</v>
      </c>
      <c r="G103" s="3">
        <f t="shared" si="1"/>
        <v>0.58155573535107163</v>
      </c>
      <c r="J103" s="3">
        <v>0.20699999999999999</v>
      </c>
      <c r="K103" s="3">
        <v>647.21699999999998</v>
      </c>
      <c r="L103" s="3">
        <v>6213478.4000000004</v>
      </c>
      <c r="M103" s="3">
        <v>720</v>
      </c>
      <c r="N103" s="3">
        <v>562803</v>
      </c>
      <c r="O103" s="3" t="s">
        <v>28</v>
      </c>
      <c r="P103" s="3">
        <v>35.673299999999998</v>
      </c>
      <c r="Q103" s="3">
        <v>-91.408299999999997</v>
      </c>
      <c r="R103" s="3" t="s">
        <v>60</v>
      </c>
      <c r="S103" s="3" t="s">
        <v>25</v>
      </c>
      <c r="T103" s="3" t="s">
        <v>24</v>
      </c>
      <c r="U103" s="3" t="s">
        <v>23</v>
      </c>
      <c r="V103" s="3" t="s">
        <v>22</v>
      </c>
      <c r="X103" s="3" t="s">
        <v>21</v>
      </c>
      <c r="Y103" s="3" t="s">
        <v>20</v>
      </c>
    </row>
    <row r="104" spans="1:25" x14ac:dyDescent="0.25">
      <c r="A104" s="3" t="s">
        <v>28</v>
      </c>
      <c r="B104" s="3">
        <v>6641</v>
      </c>
      <c r="C104" s="3">
        <v>2</v>
      </c>
      <c r="D104" s="3">
        <v>2012</v>
      </c>
      <c r="E104" s="3">
        <v>7</v>
      </c>
      <c r="F104" s="3">
        <v>1679.4079999999999</v>
      </c>
      <c r="G104" s="3">
        <f t="shared" si="1"/>
        <v>0.58838006066760218</v>
      </c>
      <c r="J104" s="3">
        <v>0.19969999999999999</v>
      </c>
      <c r="K104" s="3">
        <v>568.94200000000001</v>
      </c>
      <c r="L104" s="3">
        <v>5708582.2999999998</v>
      </c>
      <c r="M104" s="3">
        <v>744</v>
      </c>
      <c r="N104" s="3">
        <v>525484</v>
      </c>
      <c r="O104" s="3" t="s">
        <v>28</v>
      </c>
      <c r="P104" s="3">
        <v>35.673299999999998</v>
      </c>
      <c r="Q104" s="3">
        <v>-91.408299999999997</v>
      </c>
      <c r="R104" s="3" t="s">
        <v>60</v>
      </c>
      <c r="S104" s="3" t="s">
        <v>25</v>
      </c>
      <c r="T104" s="3" t="s">
        <v>24</v>
      </c>
      <c r="U104" s="3" t="s">
        <v>23</v>
      </c>
      <c r="V104" s="3" t="s">
        <v>22</v>
      </c>
      <c r="X104" s="3" t="s">
        <v>21</v>
      </c>
      <c r="Y104" s="3" t="s">
        <v>20</v>
      </c>
    </row>
    <row r="105" spans="1:25" x14ac:dyDescent="0.25">
      <c r="A105" s="3" t="s">
        <v>28</v>
      </c>
      <c r="B105" s="3">
        <v>6641</v>
      </c>
      <c r="C105" s="3">
        <v>2</v>
      </c>
      <c r="D105" s="3">
        <v>2012</v>
      </c>
      <c r="E105" s="3">
        <v>8</v>
      </c>
      <c r="F105" s="3">
        <v>1610.537</v>
      </c>
      <c r="G105" s="3">
        <f t="shared" si="1"/>
        <v>0.5757490079416504</v>
      </c>
      <c r="J105" s="3">
        <v>0.21299999999999999</v>
      </c>
      <c r="K105" s="3">
        <v>574.49699999999996</v>
      </c>
      <c r="L105" s="3">
        <v>5594580.2000000002</v>
      </c>
      <c r="M105" s="3">
        <v>744</v>
      </c>
      <c r="N105" s="3">
        <v>524152</v>
      </c>
      <c r="O105" s="3" t="s">
        <v>28</v>
      </c>
      <c r="P105" s="3">
        <v>35.673299999999998</v>
      </c>
      <c r="Q105" s="3">
        <v>-91.408299999999997</v>
      </c>
      <c r="R105" s="3" t="s">
        <v>60</v>
      </c>
      <c r="S105" s="3" t="s">
        <v>25</v>
      </c>
      <c r="T105" s="3" t="s">
        <v>24</v>
      </c>
      <c r="U105" s="3" t="s">
        <v>23</v>
      </c>
      <c r="V105" s="3" t="s">
        <v>22</v>
      </c>
      <c r="X105" s="3" t="s">
        <v>21</v>
      </c>
      <c r="Y105" s="3" t="s">
        <v>20</v>
      </c>
    </row>
    <row r="106" spans="1:25" x14ac:dyDescent="0.25">
      <c r="A106" s="3" t="s">
        <v>28</v>
      </c>
      <c r="B106" s="3">
        <v>6641</v>
      </c>
      <c r="C106" s="3">
        <v>2</v>
      </c>
      <c r="D106" s="3">
        <v>2012</v>
      </c>
      <c r="E106" s="3">
        <v>9</v>
      </c>
      <c r="F106" s="3">
        <v>1055.8989999999999</v>
      </c>
      <c r="G106" s="3">
        <f t="shared" si="1"/>
        <v>0.56354225605151009</v>
      </c>
      <c r="J106" s="3">
        <v>0.23449999999999999</v>
      </c>
      <c r="K106" s="3">
        <v>430.23899999999998</v>
      </c>
      <c r="L106" s="3">
        <v>3747364.0660000001</v>
      </c>
      <c r="M106" s="3">
        <v>502.73</v>
      </c>
      <c r="N106" s="3">
        <v>361863</v>
      </c>
      <c r="O106" s="3" t="s">
        <v>28</v>
      </c>
      <c r="P106" s="3">
        <v>35.673299999999998</v>
      </c>
      <c r="Q106" s="3">
        <v>-91.408299999999997</v>
      </c>
      <c r="R106" s="3" t="s">
        <v>60</v>
      </c>
      <c r="S106" s="3" t="s">
        <v>25</v>
      </c>
      <c r="T106" s="3" t="s">
        <v>24</v>
      </c>
      <c r="U106" s="3" t="s">
        <v>23</v>
      </c>
      <c r="V106" s="3" t="s">
        <v>22</v>
      </c>
      <c r="X106" s="3" t="s">
        <v>21</v>
      </c>
      <c r="Y106" s="3" t="s">
        <v>20</v>
      </c>
    </row>
    <row r="107" spans="1:25" x14ac:dyDescent="0.25">
      <c r="A107" s="3" t="s">
        <v>28</v>
      </c>
      <c r="B107" s="3">
        <v>6641</v>
      </c>
      <c r="C107" s="3">
        <v>2</v>
      </c>
      <c r="D107" s="3">
        <v>2012</v>
      </c>
      <c r="E107" s="3">
        <v>10</v>
      </c>
      <c r="G107" s="3" t="str">
        <f t="shared" si="1"/>
        <v/>
      </c>
      <c r="M107" s="3">
        <v>0</v>
      </c>
      <c r="O107" s="3" t="s">
        <v>28</v>
      </c>
      <c r="P107" s="3">
        <v>35.673299999999998</v>
      </c>
      <c r="Q107" s="3">
        <v>-91.408299999999997</v>
      </c>
      <c r="R107" s="3" t="s">
        <v>60</v>
      </c>
      <c r="S107" s="3" t="s">
        <v>25</v>
      </c>
      <c r="T107" s="3" t="s">
        <v>24</v>
      </c>
      <c r="U107" s="3" t="s">
        <v>23</v>
      </c>
      <c r="V107" s="3" t="s">
        <v>22</v>
      </c>
      <c r="X107" s="3" t="s">
        <v>21</v>
      </c>
      <c r="Y107" s="3" t="s">
        <v>20</v>
      </c>
    </row>
    <row r="108" spans="1:25" x14ac:dyDescent="0.25">
      <c r="A108" s="3" t="s">
        <v>28</v>
      </c>
      <c r="B108" s="3">
        <v>6641</v>
      </c>
      <c r="C108" s="3">
        <v>2</v>
      </c>
      <c r="D108" s="3">
        <v>2012</v>
      </c>
      <c r="E108" s="3">
        <v>11</v>
      </c>
      <c r="F108" s="3">
        <v>547.702</v>
      </c>
      <c r="G108" s="3">
        <f t="shared" si="1"/>
        <v>0.52463179702618379</v>
      </c>
      <c r="J108" s="3">
        <v>0.19289999999999999</v>
      </c>
      <c r="K108" s="3">
        <v>209.89</v>
      </c>
      <c r="L108" s="3">
        <v>2087948.169</v>
      </c>
      <c r="M108" s="3">
        <v>301.64999999999998</v>
      </c>
      <c r="N108" s="3">
        <v>198343.96</v>
      </c>
      <c r="O108" s="3" t="s">
        <v>28</v>
      </c>
      <c r="P108" s="3">
        <v>35.673299999999998</v>
      </c>
      <c r="Q108" s="3">
        <v>-91.408299999999997</v>
      </c>
      <c r="R108" s="3" t="s">
        <v>60</v>
      </c>
      <c r="S108" s="3" t="s">
        <v>25</v>
      </c>
      <c r="T108" s="3" t="s">
        <v>24</v>
      </c>
      <c r="U108" s="3" t="s">
        <v>23</v>
      </c>
      <c r="V108" s="3" t="s">
        <v>22</v>
      </c>
      <c r="X108" s="3" t="s">
        <v>21</v>
      </c>
      <c r="Y108" s="3" t="s">
        <v>20</v>
      </c>
    </row>
    <row r="109" spans="1:25" x14ac:dyDescent="0.25">
      <c r="A109" s="3" t="s">
        <v>28</v>
      </c>
      <c r="B109" s="3">
        <v>6641</v>
      </c>
      <c r="C109" s="3">
        <v>2</v>
      </c>
      <c r="D109" s="3">
        <v>2012</v>
      </c>
      <c r="E109" s="3">
        <v>12</v>
      </c>
      <c r="F109" s="3">
        <v>1259.8140000000001</v>
      </c>
      <c r="G109" s="3">
        <f t="shared" si="1"/>
        <v>0.54301846593557113</v>
      </c>
      <c r="H109" s="168">
        <f>AVERAGE(G98:G109)</f>
        <v>0.58028439362705742</v>
      </c>
      <c r="I109" s="169">
        <f>MAX(G98:G109)</f>
        <v>0.61150676379846403</v>
      </c>
      <c r="J109" s="3">
        <v>0.21429999999999999</v>
      </c>
      <c r="K109" s="3">
        <v>473.28699999999998</v>
      </c>
      <c r="L109" s="3">
        <v>4640041.0999999996</v>
      </c>
      <c r="M109" s="3">
        <v>744</v>
      </c>
      <c r="N109" s="3">
        <v>495975</v>
      </c>
      <c r="O109" s="3" t="s">
        <v>28</v>
      </c>
      <c r="P109" s="3">
        <v>35.673299999999998</v>
      </c>
      <c r="Q109" s="3">
        <v>-91.408299999999997</v>
      </c>
      <c r="R109" s="3" t="s">
        <v>60</v>
      </c>
      <c r="S109" s="3" t="s">
        <v>25</v>
      </c>
      <c r="T109" s="3" t="s">
        <v>24</v>
      </c>
      <c r="U109" s="3" t="s">
        <v>23</v>
      </c>
      <c r="V109" s="3" t="s">
        <v>22</v>
      </c>
      <c r="X109" s="3" t="s">
        <v>21</v>
      </c>
      <c r="Y109" s="3" t="s">
        <v>20</v>
      </c>
    </row>
    <row r="110" spans="1:25" x14ac:dyDescent="0.25">
      <c r="A110" s="3" t="s">
        <v>28</v>
      </c>
      <c r="B110" s="3">
        <v>6641</v>
      </c>
      <c r="C110" s="3">
        <v>2</v>
      </c>
      <c r="D110" s="3">
        <v>2013</v>
      </c>
      <c r="E110" s="3">
        <v>1</v>
      </c>
      <c r="F110" s="3">
        <v>1392.2190000000001</v>
      </c>
      <c r="G110" s="3">
        <f t="shared" si="1"/>
        <v>0.54306957481747176</v>
      </c>
      <c r="J110" s="3">
        <v>0.19989999999999999</v>
      </c>
      <c r="K110" s="3">
        <v>503.327</v>
      </c>
      <c r="L110" s="3">
        <v>5127221.5</v>
      </c>
      <c r="M110" s="3">
        <v>744</v>
      </c>
      <c r="N110" s="3">
        <v>536713</v>
      </c>
      <c r="O110" s="3" t="s">
        <v>28</v>
      </c>
      <c r="P110" s="3">
        <v>35.673299999999998</v>
      </c>
      <c r="Q110" s="3">
        <v>-91.408299999999997</v>
      </c>
      <c r="R110" s="3" t="s">
        <v>60</v>
      </c>
      <c r="S110" s="3" t="s">
        <v>25</v>
      </c>
      <c r="T110" s="3" t="s">
        <v>24</v>
      </c>
      <c r="U110" s="3" t="s">
        <v>23</v>
      </c>
      <c r="V110" s="3" t="s">
        <v>22</v>
      </c>
      <c r="X110" s="3" t="s">
        <v>21</v>
      </c>
      <c r="Y110" s="3" t="s">
        <v>20</v>
      </c>
    </row>
    <row r="111" spans="1:25" x14ac:dyDescent="0.25">
      <c r="A111" s="3" t="s">
        <v>28</v>
      </c>
      <c r="B111" s="3">
        <v>6641</v>
      </c>
      <c r="C111" s="3">
        <v>2</v>
      </c>
      <c r="D111" s="3">
        <v>2013</v>
      </c>
      <c r="E111" s="3">
        <v>2</v>
      </c>
      <c r="F111" s="3">
        <v>1083.6199999999999</v>
      </c>
      <c r="G111" s="3">
        <f t="shared" si="1"/>
        <v>0.50869522528912192</v>
      </c>
      <c r="J111" s="3">
        <v>0.20580000000000001</v>
      </c>
      <c r="K111" s="3">
        <v>424.72399999999999</v>
      </c>
      <c r="L111" s="3">
        <v>4260389.9000000004</v>
      </c>
      <c r="M111" s="3">
        <v>672</v>
      </c>
      <c r="N111" s="3">
        <v>444277</v>
      </c>
      <c r="O111" s="3" t="s">
        <v>28</v>
      </c>
      <c r="P111" s="3">
        <v>35.673299999999998</v>
      </c>
      <c r="Q111" s="3">
        <v>-91.408299999999997</v>
      </c>
      <c r="R111" s="3" t="s">
        <v>60</v>
      </c>
      <c r="S111" s="3" t="s">
        <v>25</v>
      </c>
      <c r="T111" s="3" t="s">
        <v>24</v>
      </c>
      <c r="U111" s="3" t="s">
        <v>23</v>
      </c>
      <c r="V111" s="3" t="s">
        <v>22</v>
      </c>
      <c r="X111" s="3" t="s">
        <v>21</v>
      </c>
      <c r="Y111" s="3" t="s">
        <v>20</v>
      </c>
    </row>
    <row r="112" spans="1:25" x14ac:dyDescent="0.25">
      <c r="A112" s="3" t="s">
        <v>28</v>
      </c>
      <c r="B112" s="3">
        <v>6641</v>
      </c>
      <c r="C112" s="3">
        <v>2</v>
      </c>
      <c r="D112" s="3">
        <v>2013</v>
      </c>
      <c r="E112" s="3">
        <v>3</v>
      </c>
      <c r="F112" s="3">
        <v>1366.027</v>
      </c>
      <c r="G112" s="3">
        <f t="shared" si="1"/>
        <v>0.56219543761903334</v>
      </c>
      <c r="J112" s="3">
        <v>0.1981</v>
      </c>
      <c r="K112" s="3">
        <v>474.221</v>
      </c>
      <c r="L112" s="3">
        <v>4859616.0999999996</v>
      </c>
      <c r="M112" s="3">
        <v>744</v>
      </c>
      <c r="N112" s="3">
        <v>519150</v>
      </c>
      <c r="O112" s="3" t="s">
        <v>28</v>
      </c>
      <c r="P112" s="3">
        <v>35.673299999999998</v>
      </c>
      <c r="Q112" s="3">
        <v>-91.408299999999997</v>
      </c>
      <c r="R112" s="3" t="s">
        <v>60</v>
      </c>
      <c r="S112" s="3" t="s">
        <v>25</v>
      </c>
      <c r="T112" s="3" t="s">
        <v>24</v>
      </c>
      <c r="U112" s="3" t="s">
        <v>23</v>
      </c>
      <c r="V112" s="3" t="s">
        <v>22</v>
      </c>
      <c r="X112" s="3" t="s">
        <v>21</v>
      </c>
      <c r="Y112" s="3" t="s">
        <v>20</v>
      </c>
    </row>
    <row r="113" spans="1:25" x14ac:dyDescent="0.25">
      <c r="A113" s="3" t="s">
        <v>28</v>
      </c>
      <c r="B113" s="3">
        <v>6641</v>
      </c>
      <c r="C113" s="3">
        <v>2</v>
      </c>
      <c r="D113" s="3">
        <v>2013</v>
      </c>
      <c r="E113" s="3">
        <v>4</v>
      </c>
      <c r="F113" s="3">
        <v>1474.4369999999999</v>
      </c>
      <c r="G113" s="3">
        <f t="shared" si="1"/>
        <v>0.56109104048304981</v>
      </c>
      <c r="J113" s="3">
        <v>0.1905</v>
      </c>
      <c r="K113" s="3">
        <v>505.18299999999999</v>
      </c>
      <c r="L113" s="3">
        <v>5255607</v>
      </c>
      <c r="M113" s="3">
        <v>720</v>
      </c>
      <c r="N113" s="3">
        <v>554264</v>
      </c>
      <c r="O113" s="3" t="s">
        <v>28</v>
      </c>
      <c r="P113" s="3">
        <v>35.673299999999998</v>
      </c>
      <c r="Q113" s="3">
        <v>-91.408299999999997</v>
      </c>
      <c r="R113" s="3" t="s">
        <v>60</v>
      </c>
      <c r="S113" s="3" t="s">
        <v>25</v>
      </c>
      <c r="T113" s="3" t="s">
        <v>24</v>
      </c>
      <c r="U113" s="3" t="s">
        <v>23</v>
      </c>
      <c r="V113" s="3" t="s">
        <v>22</v>
      </c>
      <c r="X113" s="3" t="s">
        <v>21</v>
      </c>
      <c r="Y113" s="3" t="s">
        <v>20</v>
      </c>
    </row>
    <row r="114" spans="1:25" x14ac:dyDescent="0.25">
      <c r="A114" s="3" t="s">
        <v>28</v>
      </c>
      <c r="B114" s="3">
        <v>6641</v>
      </c>
      <c r="C114" s="3">
        <v>2</v>
      </c>
      <c r="D114" s="3">
        <v>2013</v>
      </c>
      <c r="E114" s="3">
        <v>5</v>
      </c>
      <c r="F114" s="3">
        <v>1591.26</v>
      </c>
      <c r="G114" s="3">
        <f t="shared" si="1"/>
        <v>0.59132896266092749</v>
      </c>
      <c r="J114" s="3">
        <v>0.2034</v>
      </c>
      <c r="K114" s="3">
        <v>544.12800000000004</v>
      </c>
      <c r="L114" s="3">
        <v>5381978.9000000004</v>
      </c>
      <c r="M114" s="3">
        <v>744</v>
      </c>
      <c r="N114" s="3">
        <v>547682</v>
      </c>
      <c r="O114" s="3" t="s">
        <v>28</v>
      </c>
      <c r="P114" s="3">
        <v>35.673299999999998</v>
      </c>
      <c r="Q114" s="3">
        <v>-91.408299999999997</v>
      </c>
      <c r="R114" s="3" t="s">
        <v>60</v>
      </c>
      <c r="S114" s="3" t="s">
        <v>25</v>
      </c>
      <c r="T114" s="3" t="s">
        <v>24</v>
      </c>
      <c r="U114" s="3" t="s">
        <v>23</v>
      </c>
      <c r="V114" s="3" t="s">
        <v>22</v>
      </c>
      <c r="X114" s="3" t="s">
        <v>21</v>
      </c>
      <c r="Y114" s="3" t="s">
        <v>20</v>
      </c>
    </row>
    <row r="115" spans="1:25" x14ac:dyDescent="0.25">
      <c r="A115" s="3" t="s">
        <v>28</v>
      </c>
      <c r="B115" s="3">
        <v>6641</v>
      </c>
      <c r="C115" s="3">
        <v>2</v>
      </c>
      <c r="D115" s="3">
        <v>2013</v>
      </c>
      <c r="E115" s="3">
        <v>6</v>
      </c>
      <c r="F115" s="3">
        <v>1512.9739999999999</v>
      </c>
      <c r="G115" s="3">
        <f t="shared" si="1"/>
        <v>0.54243212633847238</v>
      </c>
      <c r="J115" s="3">
        <v>0.22059999999999999</v>
      </c>
      <c r="K115" s="3">
        <v>619.76900000000001</v>
      </c>
      <c r="L115" s="3">
        <v>5578482.2709999997</v>
      </c>
      <c r="M115" s="3">
        <v>719.61</v>
      </c>
      <c r="N115" s="3">
        <v>561801.69999999995</v>
      </c>
      <c r="O115" s="3" t="s">
        <v>28</v>
      </c>
      <c r="P115" s="3">
        <v>35.673299999999998</v>
      </c>
      <c r="Q115" s="3">
        <v>-91.408299999999997</v>
      </c>
      <c r="R115" s="3" t="s">
        <v>60</v>
      </c>
      <c r="S115" s="3" t="s">
        <v>25</v>
      </c>
      <c r="T115" s="3" t="s">
        <v>24</v>
      </c>
      <c r="U115" s="3" t="s">
        <v>23</v>
      </c>
      <c r="V115" s="3" t="s">
        <v>22</v>
      </c>
      <c r="X115" s="3" t="s">
        <v>21</v>
      </c>
      <c r="Y115" s="3" t="s">
        <v>20</v>
      </c>
    </row>
    <row r="116" spans="1:25" x14ac:dyDescent="0.25">
      <c r="A116" s="3" t="s">
        <v>28</v>
      </c>
      <c r="B116" s="3">
        <v>6641</v>
      </c>
      <c r="C116" s="3">
        <v>2</v>
      </c>
      <c r="D116" s="3">
        <v>2013</v>
      </c>
      <c r="E116" s="3">
        <v>7</v>
      </c>
      <c r="F116" s="3">
        <v>1551.0650000000001</v>
      </c>
      <c r="G116" s="3">
        <f t="shared" si="1"/>
        <v>0.55032790593555214</v>
      </c>
      <c r="J116" s="3">
        <v>0.2132</v>
      </c>
      <c r="K116" s="3">
        <v>599.55100000000004</v>
      </c>
      <c r="L116" s="3">
        <v>5636875.7000000002</v>
      </c>
      <c r="M116" s="3">
        <v>744</v>
      </c>
      <c r="N116" s="3">
        <v>560667</v>
      </c>
      <c r="O116" s="3" t="s">
        <v>28</v>
      </c>
      <c r="P116" s="3">
        <v>35.673299999999998</v>
      </c>
      <c r="Q116" s="3">
        <v>-91.408299999999997</v>
      </c>
      <c r="R116" s="3" t="s">
        <v>60</v>
      </c>
      <c r="S116" s="3" t="s">
        <v>25</v>
      </c>
      <c r="T116" s="3" t="s">
        <v>24</v>
      </c>
      <c r="U116" s="3" t="s">
        <v>23</v>
      </c>
      <c r="V116" s="3" t="s">
        <v>22</v>
      </c>
      <c r="X116" s="3" t="s">
        <v>21</v>
      </c>
      <c r="Y116" s="3" t="s">
        <v>20</v>
      </c>
    </row>
    <row r="117" spans="1:25" x14ac:dyDescent="0.25">
      <c r="A117" s="3" t="s">
        <v>28</v>
      </c>
      <c r="B117" s="3">
        <v>6641</v>
      </c>
      <c r="C117" s="3">
        <v>2</v>
      </c>
      <c r="D117" s="3">
        <v>2013</v>
      </c>
      <c r="E117" s="3">
        <v>8</v>
      </c>
      <c r="F117" s="3">
        <v>1604.8050000000001</v>
      </c>
      <c r="G117" s="3">
        <f t="shared" si="1"/>
        <v>0.56402983015419972</v>
      </c>
      <c r="J117" s="3">
        <v>0.20119999999999999</v>
      </c>
      <c r="K117" s="3">
        <v>568.88400000000001</v>
      </c>
      <c r="L117" s="3">
        <v>5690496.9000000004</v>
      </c>
      <c r="M117" s="3">
        <v>744</v>
      </c>
      <c r="N117" s="3">
        <v>560760</v>
      </c>
      <c r="O117" s="3" t="s">
        <v>28</v>
      </c>
      <c r="P117" s="3">
        <v>35.673299999999998</v>
      </c>
      <c r="Q117" s="3">
        <v>-91.408299999999997</v>
      </c>
      <c r="R117" s="3" t="s">
        <v>60</v>
      </c>
      <c r="S117" s="3" t="s">
        <v>25</v>
      </c>
      <c r="T117" s="3" t="s">
        <v>24</v>
      </c>
      <c r="U117" s="3" t="s">
        <v>23</v>
      </c>
      <c r="V117" s="3" t="s">
        <v>22</v>
      </c>
      <c r="X117" s="3" t="s">
        <v>21</v>
      </c>
      <c r="Y117" s="3" t="s">
        <v>20</v>
      </c>
    </row>
    <row r="118" spans="1:25" x14ac:dyDescent="0.25">
      <c r="A118" s="3" t="s">
        <v>28</v>
      </c>
      <c r="B118" s="3">
        <v>6641</v>
      </c>
      <c r="C118" s="3">
        <v>2</v>
      </c>
      <c r="D118" s="3">
        <v>2013</v>
      </c>
      <c r="E118" s="3">
        <v>9</v>
      </c>
      <c r="F118" s="3">
        <v>1360.2950000000001</v>
      </c>
      <c r="G118" s="3">
        <f t="shared" si="1"/>
        <v>0.5788116705507429</v>
      </c>
      <c r="J118" s="3">
        <v>0.20430000000000001</v>
      </c>
      <c r="K118" s="3">
        <v>474.90600000000001</v>
      </c>
      <c r="L118" s="3">
        <v>4700302.5999999996</v>
      </c>
      <c r="M118" s="3">
        <v>645</v>
      </c>
      <c r="N118" s="3">
        <v>475525</v>
      </c>
      <c r="O118" s="3" t="s">
        <v>28</v>
      </c>
      <c r="P118" s="3">
        <v>35.673299999999998</v>
      </c>
      <c r="Q118" s="3">
        <v>-91.408299999999997</v>
      </c>
      <c r="R118" s="3" t="s">
        <v>60</v>
      </c>
      <c r="S118" s="3" t="s">
        <v>25</v>
      </c>
      <c r="T118" s="3" t="s">
        <v>24</v>
      </c>
      <c r="U118" s="3" t="s">
        <v>23</v>
      </c>
      <c r="V118" s="3" t="s">
        <v>22</v>
      </c>
      <c r="X118" s="3" t="s">
        <v>21</v>
      </c>
      <c r="Y118" s="3" t="s">
        <v>20</v>
      </c>
    </row>
    <row r="119" spans="1:25" x14ac:dyDescent="0.25">
      <c r="A119" s="3" t="s">
        <v>28</v>
      </c>
      <c r="B119" s="3">
        <v>6641</v>
      </c>
      <c r="C119" s="3">
        <v>2</v>
      </c>
      <c r="D119" s="3">
        <v>2013</v>
      </c>
      <c r="E119" s="3">
        <v>10</v>
      </c>
      <c r="F119" s="3">
        <v>840.25</v>
      </c>
      <c r="G119" s="3">
        <f t="shared" si="1"/>
        <v>0.52565191939097378</v>
      </c>
      <c r="J119" s="3">
        <v>0.1956</v>
      </c>
      <c r="K119" s="3">
        <v>311.48200000000003</v>
      </c>
      <c r="L119" s="3">
        <v>3196982.5240000002</v>
      </c>
      <c r="M119" s="3">
        <v>501.36</v>
      </c>
      <c r="N119" s="3">
        <v>337871</v>
      </c>
      <c r="O119" s="3" t="s">
        <v>28</v>
      </c>
      <c r="P119" s="3">
        <v>35.673299999999998</v>
      </c>
      <c r="Q119" s="3">
        <v>-91.408299999999997</v>
      </c>
      <c r="R119" s="3" t="s">
        <v>60</v>
      </c>
      <c r="S119" s="3" t="s">
        <v>25</v>
      </c>
      <c r="T119" s="3" t="s">
        <v>24</v>
      </c>
      <c r="U119" s="3" t="s">
        <v>23</v>
      </c>
      <c r="V119" s="3" t="s">
        <v>22</v>
      </c>
      <c r="X119" s="3" t="s">
        <v>21</v>
      </c>
      <c r="Y119" s="3" t="s">
        <v>20</v>
      </c>
    </row>
    <row r="120" spans="1:25" x14ac:dyDescent="0.25">
      <c r="A120" s="3" t="s">
        <v>28</v>
      </c>
      <c r="B120" s="3">
        <v>6641</v>
      </c>
      <c r="C120" s="3">
        <v>2</v>
      </c>
      <c r="D120" s="3">
        <v>2013</v>
      </c>
      <c r="E120" s="3">
        <v>11</v>
      </c>
      <c r="F120" s="3">
        <v>1160.2940000000001</v>
      </c>
      <c r="G120" s="3">
        <f t="shared" si="1"/>
        <v>0.5560632207326246</v>
      </c>
      <c r="J120" s="3">
        <v>0.2278</v>
      </c>
      <c r="K120" s="3">
        <v>438.90199999999999</v>
      </c>
      <c r="L120" s="3">
        <v>4173244.9</v>
      </c>
      <c r="M120" s="3">
        <v>720</v>
      </c>
      <c r="N120" s="3">
        <v>437431</v>
      </c>
      <c r="O120" s="3" t="s">
        <v>28</v>
      </c>
      <c r="P120" s="3">
        <v>35.673299999999998</v>
      </c>
      <c r="Q120" s="3">
        <v>-91.408299999999997</v>
      </c>
      <c r="R120" s="3" t="s">
        <v>60</v>
      </c>
      <c r="S120" s="3" t="s">
        <v>25</v>
      </c>
      <c r="T120" s="3" t="s">
        <v>24</v>
      </c>
      <c r="U120" s="3" t="s">
        <v>23</v>
      </c>
      <c r="V120" s="3" t="s">
        <v>22</v>
      </c>
      <c r="X120" s="3" t="s">
        <v>21</v>
      </c>
      <c r="Y120" s="3" t="s">
        <v>20</v>
      </c>
    </row>
    <row r="121" spans="1:25" x14ac:dyDescent="0.25">
      <c r="A121" s="3" t="s">
        <v>28</v>
      </c>
      <c r="B121" s="3">
        <v>6641</v>
      </c>
      <c r="C121" s="3">
        <v>2</v>
      </c>
      <c r="D121" s="3">
        <v>2013</v>
      </c>
      <c r="E121" s="3">
        <v>12</v>
      </c>
      <c r="F121" s="3">
        <v>1335.8489999999999</v>
      </c>
      <c r="G121" s="3">
        <f t="shared" si="1"/>
        <v>0.54730745242548384</v>
      </c>
      <c r="H121" s="168">
        <f>AVERAGE(G110:G121)</f>
        <v>0.55258369719980449</v>
      </c>
      <c r="I121" s="168">
        <f>MAX(G110:G121)</f>
        <v>0.59132896266092749</v>
      </c>
      <c r="J121" s="3">
        <v>0.22059999999999999</v>
      </c>
      <c r="K121" s="3">
        <v>511.85199999999998</v>
      </c>
      <c r="L121" s="3">
        <v>4881530.46</v>
      </c>
      <c r="M121" s="3">
        <v>738.9</v>
      </c>
      <c r="N121" s="3">
        <v>505164.79999999999</v>
      </c>
      <c r="O121" s="3" t="s">
        <v>28</v>
      </c>
      <c r="P121" s="3">
        <v>35.673299999999998</v>
      </c>
      <c r="Q121" s="3">
        <v>-91.408299999999997</v>
      </c>
      <c r="R121" s="3" t="s">
        <v>60</v>
      </c>
      <c r="S121" s="3" t="s">
        <v>25</v>
      </c>
      <c r="T121" s="3" t="s">
        <v>24</v>
      </c>
      <c r="U121" s="3" t="s">
        <v>23</v>
      </c>
      <c r="V121" s="3" t="s">
        <v>22</v>
      </c>
      <c r="X121" s="3" t="s">
        <v>21</v>
      </c>
      <c r="Y121" s="3" t="s">
        <v>20</v>
      </c>
    </row>
    <row r="122" spans="1:25" x14ac:dyDescent="0.25">
      <c r="A122" s="3" t="s">
        <v>27</v>
      </c>
      <c r="B122" s="3">
        <v>6009</v>
      </c>
      <c r="C122" s="3">
        <v>1</v>
      </c>
      <c r="D122" s="3">
        <v>2009</v>
      </c>
      <c r="E122" s="3">
        <v>1</v>
      </c>
      <c r="F122" s="3">
        <v>1516.251</v>
      </c>
      <c r="G122" s="3">
        <f t="shared" si="1"/>
        <v>0.62318329538026274</v>
      </c>
      <c r="J122" s="3">
        <v>0.25580000000000003</v>
      </c>
      <c r="K122" s="3">
        <v>637.02</v>
      </c>
      <c r="L122" s="3">
        <v>4866147.7649999997</v>
      </c>
      <c r="M122" s="3">
        <v>685.9</v>
      </c>
      <c r="N122" s="3">
        <v>478205</v>
      </c>
      <c r="O122" s="3" t="s">
        <v>26</v>
      </c>
      <c r="P122" s="3">
        <v>34.4236</v>
      </c>
      <c r="Q122" s="3">
        <v>-92.139200000000002</v>
      </c>
      <c r="R122" s="3" t="s">
        <v>59</v>
      </c>
      <c r="S122" s="3" t="s">
        <v>25</v>
      </c>
      <c r="T122" s="3" t="s">
        <v>24</v>
      </c>
      <c r="U122" s="3" t="s">
        <v>23</v>
      </c>
      <c r="V122" s="3" t="s">
        <v>22</v>
      </c>
      <c r="X122" s="3" t="s">
        <v>21</v>
      </c>
      <c r="Y122" s="3" t="s">
        <v>20</v>
      </c>
    </row>
    <row r="123" spans="1:25" x14ac:dyDescent="0.25">
      <c r="A123" s="3" t="s">
        <v>27</v>
      </c>
      <c r="B123" s="3">
        <v>6009</v>
      </c>
      <c r="C123" s="3">
        <v>1</v>
      </c>
      <c r="D123" s="3">
        <v>2009</v>
      </c>
      <c r="E123" s="3">
        <v>2</v>
      </c>
      <c r="F123" s="3">
        <v>1619.0730000000001</v>
      </c>
      <c r="G123" s="3">
        <f t="shared" si="1"/>
        <v>0.64106273034678485</v>
      </c>
      <c r="J123" s="3">
        <v>0.26050000000000001</v>
      </c>
      <c r="K123" s="3">
        <v>656.625</v>
      </c>
      <c r="L123" s="3">
        <v>5051215.5</v>
      </c>
      <c r="M123" s="3">
        <v>672</v>
      </c>
      <c r="N123" s="3">
        <v>516064</v>
      </c>
      <c r="O123" s="3" t="s">
        <v>26</v>
      </c>
      <c r="P123" s="3">
        <v>34.4236</v>
      </c>
      <c r="Q123" s="3">
        <v>-92.139200000000002</v>
      </c>
      <c r="R123" s="3" t="s">
        <v>59</v>
      </c>
      <c r="S123" s="3" t="s">
        <v>25</v>
      </c>
      <c r="T123" s="3" t="s">
        <v>24</v>
      </c>
      <c r="U123" s="3" t="s">
        <v>23</v>
      </c>
      <c r="V123" s="3" t="s">
        <v>22</v>
      </c>
      <c r="X123" s="3" t="s">
        <v>21</v>
      </c>
      <c r="Y123" s="3" t="s">
        <v>20</v>
      </c>
    </row>
    <row r="124" spans="1:25" x14ac:dyDescent="0.25">
      <c r="A124" s="3" t="s">
        <v>27</v>
      </c>
      <c r="B124" s="3">
        <v>6009</v>
      </c>
      <c r="C124" s="3">
        <v>1</v>
      </c>
      <c r="D124" s="3">
        <v>2009</v>
      </c>
      <c r="E124" s="3">
        <v>3</v>
      </c>
      <c r="F124" s="3">
        <v>1735.472</v>
      </c>
      <c r="G124" s="3">
        <f t="shared" si="1"/>
        <v>0.61402700906209517</v>
      </c>
      <c r="J124" s="3">
        <v>0.2485</v>
      </c>
      <c r="K124" s="3">
        <v>698.01</v>
      </c>
      <c r="L124" s="3">
        <v>5652754.5999999996</v>
      </c>
      <c r="M124" s="3">
        <v>744</v>
      </c>
      <c r="N124" s="3">
        <v>570515</v>
      </c>
      <c r="O124" s="3" t="s">
        <v>26</v>
      </c>
      <c r="P124" s="3">
        <v>34.4236</v>
      </c>
      <c r="Q124" s="3">
        <v>-92.139200000000002</v>
      </c>
      <c r="R124" s="3" t="s">
        <v>59</v>
      </c>
      <c r="S124" s="3" t="s">
        <v>25</v>
      </c>
      <c r="T124" s="3" t="s">
        <v>24</v>
      </c>
      <c r="U124" s="3" t="s">
        <v>23</v>
      </c>
      <c r="V124" s="3" t="s">
        <v>22</v>
      </c>
      <c r="X124" s="3" t="s">
        <v>21</v>
      </c>
      <c r="Y124" s="3" t="s">
        <v>20</v>
      </c>
    </row>
    <row r="125" spans="1:25" x14ac:dyDescent="0.25">
      <c r="A125" s="3" t="s">
        <v>27</v>
      </c>
      <c r="B125" s="3">
        <v>6009</v>
      </c>
      <c r="C125" s="3">
        <v>1</v>
      </c>
      <c r="D125" s="3">
        <v>2009</v>
      </c>
      <c r="E125" s="3">
        <v>4</v>
      </c>
      <c r="F125" s="3">
        <v>107.26300000000001</v>
      </c>
      <c r="G125" s="3">
        <f t="shared" si="1"/>
        <v>0.53090502470772583</v>
      </c>
      <c r="J125" s="3">
        <v>0.25700000000000001</v>
      </c>
      <c r="K125" s="3">
        <v>51.472999999999999</v>
      </c>
      <c r="L125" s="3">
        <v>404076.04</v>
      </c>
      <c r="M125" s="3">
        <v>59.27</v>
      </c>
      <c r="N125" s="3">
        <v>42221</v>
      </c>
      <c r="O125" s="3" t="s">
        <v>26</v>
      </c>
      <c r="P125" s="3">
        <v>34.4236</v>
      </c>
      <c r="Q125" s="3">
        <v>-92.139200000000002</v>
      </c>
      <c r="R125" s="3" t="s">
        <v>59</v>
      </c>
      <c r="S125" s="3" t="s">
        <v>25</v>
      </c>
      <c r="T125" s="3" t="s">
        <v>24</v>
      </c>
      <c r="U125" s="3" t="s">
        <v>23</v>
      </c>
      <c r="V125" s="3" t="s">
        <v>22</v>
      </c>
      <c r="X125" s="3" t="s">
        <v>21</v>
      </c>
      <c r="Y125" s="3" t="s">
        <v>20</v>
      </c>
    </row>
    <row r="126" spans="1:25" x14ac:dyDescent="0.25">
      <c r="A126" s="3" t="s">
        <v>27</v>
      </c>
      <c r="B126" s="3">
        <v>6009</v>
      </c>
      <c r="C126" s="3">
        <v>1</v>
      </c>
      <c r="D126" s="3">
        <v>2009</v>
      </c>
      <c r="E126" s="3">
        <v>5</v>
      </c>
      <c r="F126" s="3">
        <v>29.209</v>
      </c>
      <c r="G126" s="3">
        <f t="shared" si="1"/>
        <v>0.44214488937711677</v>
      </c>
      <c r="J126" s="3">
        <v>0.10929999999999999</v>
      </c>
      <c r="K126" s="3">
        <v>13.981999999999999</v>
      </c>
      <c r="L126" s="3">
        <v>132124.10999999999</v>
      </c>
      <c r="M126" s="3">
        <v>78.67</v>
      </c>
      <c r="N126" s="3">
        <v>10624</v>
      </c>
      <c r="O126" s="3" t="s">
        <v>26</v>
      </c>
      <c r="P126" s="3">
        <v>34.4236</v>
      </c>
      <c r="Q126" s="3">
        <v>-92.139200000000002</v>
      </c>
      <c r="R126" s="3" t="s">
        <v>59</v>
      </c>
      <c r="S126" s="3" t="s">
        <v>25</v>
      </c>
      <c r="T126" s="3" t="s">
        <v>24</v>
      </c>
      <c r="U126" s="3" t="s">
        <v>23</v>
      </c>
      <c r="V126" s="3" t="s">
        <v>22</v>
      </c>
      <c r="X126" s="3" t="s">
        <v>21</v>
      </c>
      <c r="Y126" s="3" t="s">
        <v>20</v>
      </c>
    </row>
    <row r="127" spans="1:25" x14ac:dyDescent="0.25">
      <c r="A127" s="3" t="s">
        <v>27</v>
      </c>
      <c r="B127" s="3">
        <v>6009</v>
      </c>
      <c r="C127" s="3">
        <v>1</v>
      </c>
      <c r="D127" s="3">
        <v>2009</v>
      </c>
      <c r="E127" s="3">
        <v>6</v>
      </c>
      <c r="F127" s="3">
        <v>1450.1289999999999</v>
      </c>
      <c r="G127" s="3">
        <f t="shared" si="1"/>
        <v>0.60619339329349675</v>
      </c>
      <c r="J127" s="3">
        <v>0.2303</v>
      </c>
      <c r="K127" s="3">
        <v>557.27700000000004</v>
      </c>
      <c r="L127" s="3">
        <v>4784377.4479999999</v>
      </c>
      <c r="M127" s="3">
        <v>690.47</v>
      </c>
      <c r="N127" s="3">
        <v>494367</v>
      </c>
      <c r="O127" s="3" t="s">
        <v>26</v>
      </c>
      <c r="P127" s="3">
        <v>34.4236</v>
      </c>
      <c r="Q127" s="3">
        <v>-92.139200000000002</v>
      </c>
      <c r="R127" s="3" t="s">
        <v>59</v>
      </c>
      <c r="S127" s="3" t="s">
        <v>25</v>
      </c>
      <c r="T127" s="3" t="s">
        <v>24</v>
      </c>
      <c r="U127" s="3" t="s">
        <v>23</v>
      </c>
      <c r="V127" s="3" t="s">
        <v>22</v>
      </c>
      <c r="X127" s="3" t="s">
        <v>21</v>
      </c>
      <c r="Y127" s="3" t="s">
        <v>20</v>
      </c>
    </row>
    <row r="128" spans="1:25" x14ac:dyDescent="0.25">
      <c r="A128" s="3" t="s">
        <v>27</v>
      </c>
      <c r="B128" s="3">
        <v>6009</v>
      </c>
      <c r="C128" s="3">
        <v>1</v>
      </c>
      <c r="D128" s="3">
        <v>2009</v>
      </c>
      <c r="E128" s="3">
        <v>7</v>
      </c>
      <c r="F128" s="3">
        <v>1579.4390000000001</v>
      </c>
      <c r="G128" s="3">
        <f t="shared" si="1"/>
        <v>0.61570565842570946</v>
      </c>
      <c r="J128" s="3">
        <v>0.2409</v>
      </c>
      <c r="K128" s="3">
        <v>614.38400000000001</v>
      </c>
      <c r="L128" s="3">
        <v>5130500.1940000001</v>
      </c>
      <c r="M128" s="3">
        <v>719.47</v>
      </c>
      <c r="N128" s="3">
        <v>531977</v>
      </c>
      <c r="O128" s="3" t="s">
        <v>26</v>
      </c>
      <c r="P128" s="3">
        <v>34.4236</v>
      </c>
      <c r="Q128" s="3">
        <v>-92.139200000000002</v>
      </c>
      <c r="R128" s="3" t="s">
        <v>59</v>
      </c>
      <c r="S128" s="3" t="s">
        <v>25</v>
      </c>
      <c r="T128" s="3" t="s">
        <v>24</v>
      </c>
      <c r="U128" s="3" t="s">
        <v>23</v>
      </c>
      <c r="V128" s="3" t="s">
        <v>22</v>
      </c>
      <c r="X128" s="3" t="s">
        <v>21</v>
      </c>
      <c r="Y128" s="3" t="s">
        <v>20</v>
      </c>
    </row>
    <row r="129" spans="1:25" x14ac:dyDescent="0.25">
      <c r="A129" s="3" t="s">
        <v>27</v>
      </c>
      <c r="B129" s="3">
        <v>6009</v>
      </c>
      <c r="C129" s="3">
        <v>1</v>
      </c>
      <c r="D129" s="3">
        <v>2009</v>
      </c>
      <c r="E129" s="3">
        <v>8</v>
      </c>
      <c r="F129" s="3">
        <v>1685.807</v>
      </c>
      <c r="G129" s="3">
        <f t="shared" si="1"/>
        <v>0.61220739305448912</v>
      </c>
      <c r="J129" s="3">
        <v>0.2545</v>
      </c>
      <c r="K129" s="3">
        <v>706.24099999999999</v>
      </c>
      <c r="L129" s="3">
        <v>5507306.9000000004</v>
      </c>
      <c r="M129" s="3">
        <v>739.75</v>
      </c>
      <c r="N129" s="3">
        <v>568719</v>
      </c>
      <c r="O129" s="3" t="s">
        <v>26</v>
      </c>
      <c r="P129" s="3">
        <v>34.4236</v>
      </c>
      <c r="Q129" s="3">
        <v>-92.139200000000002</v>
      </c>
      <c r="R129" s="3" t="s">
        <v>59</v>
      </c>
      <c r="S129" s="3" t="s">
        <v>25</v>
      </c>
      <c r="T129" s="3" t="s">
        <v>24</v>
      </c>
      <c r="U129" s="3" t="s">
        <v>23</v>
      </c>
      <c r="V129" s="3" t="s">
        <v>22</v>
      </c>
      <c r="X129" s="3" t="s">
        <v>21</v>
      </c>
      <c r="Y129" s="3" t="s">
        <v>20</v>
      </c>
    </row>
    <row r="130" spans="1:25" x14ac:dyDescent="0.25">
      <c r="A130" s="3" t="s">
        <v>27</v>
      </c>
      <c r="B130" s="3">
        <v>6009</v>
      </c>
      <c r="C130" s="3">
        <v>1</v>
      </c>
      <c r="D130" s="3">
        <v>2009</v>
      </c>
      <c r="E130" s="3">
        <v>9</v>
      </c>
      <c r="F130" s="3">
        <v>1656.1379999999999</v>
      </c>
      <c r="G130" s="3">
        <f t="shared" ref="G130:G193" si="2">IF(F130="","",(F130*2000)/L130)</f>
        <v>0.61652861479071486</v>
      </c>
      <c r="J130" s="3">
        <v>0.27389999999999998</v>
      </c>
      <c r="K130" s="3">
        <v>733.54899999999998</v>
      </c>
      <c r="L130" s="3">
        <v>5372461.0999999996</v>
      </c>
      <c r="M130" s="3">
        <v>720</v>
      </c>
      <c r="N130" s="3">
        <v>559457</v>
      </c>
      <c r="O130" s="3" t="s">
        <v>26</v>
      </c>
      <c r="P130" s="3">
        <v>34.4236</v>
      </c>
      <c r="Q130" s="3">
        <v>-92.139200000000002</v>
      </c>
      <c r="R130" s="3" t="s">
        <v>59</v>
      </c>
      <c r="S130" s="3" t="s">
        <v>25</v>
      </c>
      <c r="T130" s="3" t="s">
        <v>24</v>
      </c>
      <c r="U130" s="3" t="s">
        <v>23</v>
      </c>
      <c r="V130" s="3" t="s">
        <v>22</v>
      </c>
      <c r="X130" s="3" t="s">
        <v>21</v>
      </c>
      <c r="Y130" s="3" t="s">
        <v>20</v>
      </c>
    </row>
    <row r="131" spans="1:25" x14ac:dyDescent="0.25">
      <c r="A131" s="3" t="s">
        <v>27</v>
      </c>
      <c r="B131" s="3">
        <v>6009</v>
      </c>
      <c r="C131" s="3">
        <v>1</v>
      </c>
      <c r="D131" s="3">
        <v>2009</v>
      </c>
      <c r="E131" s="3">
        <v>10</v>
      </c>
      <c r="F131" s="3">
        <v>1426.2</v>
      </c>
      <c r="G131" s="3">
        <f t="shared" si="2"/>
        <v>0.62898182857340534</v>
      </c>
      <c r="J131" s="3">
        <v>0.2389</v>
      </c>
      <c r="K131" s="3">
        <v>557.51</v>
      </c>
      <c r="L131" s="3">
        <v>4534948.182</v>
      </c>
      <c r="M131" s="3">
        <v>627.30999999999995</v>
      </c>
      <c r="N131" s="3">
        <v>474908</v>
      </c>
      <c r="O131" s="3" t="s">
        <v>26</v>
      </c>
      <c r="P131" s="3">
        <v>34.4236</v>
      </c>
      <c r="Q131" s="3">
        <v>-92.139200000000002</v>
      </c>
      <c r="R131" s="3" t="s">
        <v>59</v>
      </c>
      <c r="S131" s="3" t="s">
        <v>25</v>
      </c>
      <c r="T131" s="3" t="s">
        <v>24</v>
      </c>
      <c r="U131" s="3" t="s">
        <v>23</v>
      </c>
      <c r="V131" s="3" t="s">
        <v>22</v>
      </c>
      <c r="X131" s="3" t="s">
        <v>21</v>
      </c>
      <c r="Y131" s="3" t="s">
        <v>20</v>
      </c>
    </row>
    <row r="132" spans="1:25" x14ac:dyDescent="0.25">
      <c r="A132" s="3" t="s">
        <v>27</v>
      </c>
      <c r="B132" s="3">
        <v>6009</v>
      </c>
      <c r="C132" s="3">
        <v>1</v>
      </c>
      <c r="D132" s="3">
        <v>2009</v>
      </c>
      <c r="E132" s="3">
        <v>11</v>
      </c>
      <c r="F132" s="3">
        <v>1796.5329999999999</v>
      </c>
      <c r="G132" s="3">
        <f t="shared" si="2"/>
        <v>0.63630844599560987</v>
      </c>
      <c r="J132" s="3">
        <v>0.24610000000000001</v>
      </c>
      <c r="K132" s="3">
        <v>693.02499999999998</v>
      </c>
      <c r="L132" s="3">
        <v>5646736.2999999998</v>
      </c>
      <c r="M132" s="3">
        <v>720</v>
      </c>
      <c r="N132" s="3">
        <v>585573</v>
      </c>
      <c r="O132" s="3" t="s">
        <v>26</v>
      </c>
      <c r="P132" s="3">
        <v>34.4236</v>
      </c>
      <c r="Q132" s="3">
        <v>-92.139200000000002</v>
      </c>
      <c r="R132" s="3" t="s">
        <v>59</v>
      </c>
      <c r="S132" s="3" t="s">
        <v>25</v>
      </c>
      <c r="T132" s="3" t="s">
        <v>24</v>
      </c>
      <c r="U132" s="3" t="s">
        <v>23</v>
      </c>
      <c r="V132" s="3" t="s">
        <v>22</v>
      </c>
      <c r="X132" s="3" t="s">
        <v>21</v>
      </c>
      <c r="Y132" s="3" t="s">
        <v>20</v>
      </c>
    </row>
    <row r="133" spans="1:25" x14ac:dyDescent="0.25">
      <c r="A133" s="3" t="s">
        <v>27</v>
      </c>
      <c r="B133" s="3">
        <v>6009</v>
      </c>
      <c r="C133" s="3">
        <v>1</v>
      </c>
      <c r="D133" s="3">
        <v>2009</v>
      </c>
      <c r="E133" s="3">
        <v>12</v>
      </c>
      <c r="F133" s="3">
        <v>1679.2650000000001</v>
      </c>
      <c r="G133" s="3">
        <f t="shared" si="2"/>
        <v>0.59940898117042873</v>
      </c>
      <c r="H133" s="168">
        <f>AVERAGE(G122:G133)</f>
        <v>0.59722143868148658</v>
      </c>
      <c r="I133" s="168">
        <f>MAX(G122:G133)</f>
        <v>0.64106273034678485</v>
      </c>
      <c r="J133" s="3">
        <v>0.2293</v>
      </c>
      <c r="K133" s="3">
        <v>649.428</v>
      </c>
      <c r="L133" s="3">
        <v>5603069.199</v>
      </c>
      <c r="M133" s="3">
        <v>736.45</v>
      </c>
      <c r="N133" s="3">
        <v>575642</v>
      </c>
      <c r="O133" s="3" t="s">
        <v>26</v>
      </c>
      <c r="P133" s="3">
        <v>34.4236</v>
      </c>
      <c r="Q133" s="3">
        <v>-92.139200000000002</v>
      </c>
      <c r="R133" s="3" t="s">
        <v>59</v>
      </c>
      <c r="S133" s="3" t="s">
        <v>25</v>
      </c>
      <c r="T133" s="3" t="s">
        <v>24</v>
      </c>
      <c r="U133" s="3" t="s">
        <v>23</v>
      </c>
      <c r="V133" s="3" t="s">
        <v>22</v>
      </c>
      <c r="X133" s="3" t="s">
        <v>21</v>
      </c>
      <c r="Y133" s="3" t="s">
        <v>20</v>
      </c>
    </row>
    <row r="134" spans="1:25" x14ac:dyDescent="0.25">
      <c r="A134" s="3" t="s">
        <v>27</v>
      </c>
      <c r="B134" s="3">
        <v>6009</v>
      </c>
      <c r="C134" s="3">
        <v>1</v>
      </c>
      <c r="D134" s="3">
        <v>2010</v>
      </c>
      <c r="E134" s="3">
        <v>1</v>
      </c>
      <c r="F134" s="3">
        <v>1509.078</v>
      </c>
      <c r="G134" s="3">
        <f t="shared" si="2"/>
        <v>0.53579770543604244</v>
      </c>
      <c r="J134" s="3">
        <v>0.25130000000000002</v>
      </c>
      <c r="K134" s="3">
        <v>709.601</v>
      </c>
      <c r="L134" s="3">
        <v>5633014.0449999999</v>
      </c>
      <c r="M134" s="3">
        <v>743.04</v>
      </c>
      <c r="N134" s="3">
        <v>590808</v>
      </c>
      <c r="O134" s="3" t="s">
        <v>26</v>
      </c>
      <c r="P134" s="3">
        <v>34.4236</v>
      </c>
      <c r="Q134" s="3">
        <v>-92.139200000000002</v>
      </c>
      <c r="R134" s="3" t="s">
        <v>59</v>
      </c>
      <c r="S134" s="3" t="s">
        <v>25</v>
      </c>
      <c r="T134" s="3" t="s">
        <v>24</v>
      </c>
      <c r="U134" s="3" t="s">
        <v>23</v>
      </c>
      <c r="V134" s="3" t="s">
        <v>22</v>
      </c>
      <c r="X134" s="3" t="s">
        <v>21</v>
      </c>
      <c r="Y134" s="3" t="s">
        <v>20</v>
      </c>
    </row>
    <row r="135" spans="1:25" x14ac:dyDescent="0.25">
      <c r="A135" s="3" t="s">
        <v>27</v>
      </c>
      <c r="B135" s="3">
        <v>6009</v>
      </c>
      <c r="C135" s="3">
        <v>1</v>
      </c>
      <c r="D135" s="3">
        <v>2010</v>
      </c>
      <c r="E135" s="3">
        <v>2</v>
      </c>
      <c r="F135" s="3">
        <v>901.91</v>
      </c>
      <c r="G135" s="3">
        <f t="shared" si="2"/>
        <v>0.50225617387059462</v>
      </c>
      <c r="J135" s="3">
        <v>0.25919999999999999</v>
      </c>
      <c r="K135" s="3">
        <v>471.517</v>
      </c>
      <c r="L135" s="3">
        <v>3591434.2</v>
      </c>
      <c r="M135" s="3">
        <v>466</v>
      </c>
      <c r="N135" s="3">
        <v>369659</v>
      </c>
      <c r="O135" s="3" t="s">
        <v>26</v>
      </c>
      <c r="P135" s="3">
        <v>34.4236</v>
      </c>
      <c r="Q135" s="3">
        <v>-92.139200000000002</v>
      </c>
      <c r="R135" s="3" t="s">
        <v>59</v>
      </c>
      <c r="S135" s="3" t="s">
        <v>25</v>
      </c>
      <c r="T135" s="3" t="s">
        <v>24</v>
      </c>
      <c r="U135" s="3" t="s">
        <v>23</v>
      </c>
      <c r="V135" s="3" t="s">
        <v>22</v>
      </c>
      <c r="X135" s="3" t="s">
        <v>21</v>
      </c>
      <c r="Y135" s="3" t="s">
        <v>20</v>
      </c>
    </row>
    <row r="136" spans="1:25" x14ac:dyDescent="0.25">
      <c r="A136" s="3" t="s">
        <v>27</v>
      </c>
      <c r="B136" s="3">
        <v>6009</v>
      </c>
      <c r="C136" s="3">
        <v>1</v>
      </c>
      <c r="D136" s="3">
        <v>2010</v>
      </c>
      <c r="E136" s="3">
        <v>3</v>
      </c>
      <c r="F136" s="3">
        <v>408.786</v>
      </c>
      <c r="G136" s="3">
        <f t="shared" si="2"/>
        <v>0.44822788440464856</v>
      </c>
      <c r="J136" s="3">
        <v>0.17649999999999999</v>
      </c>
      <c r="K136" s="3">
        <v>168.179</v>
      </c>
      <c r="L136" s="3">
        <v>1824009.68</v>
      </c>
      <c r="M136" s="3">
        <v>254.8</v>
      </c>
      <c r="N136" s="3">
        <v>181824</v>
      </c>
      <c r="O136" s="3" t="s">
        <v>26</v>
      </c>
      <c r="P136" s="3">
        <v>34.4236</v>
      </c>
      <c r="Q136" s="3">
        <v>-92.139200000000002</v>
      </c>
      <c r="R136" s="3" t="s">
        <v>59</v>
      </c>
      <c r="S136" s="3" t="s">
        <v>25</v>
      </c>
      <c r="T136" s="3" t="s">
        <v>24</v>
      </c>
      <c r="U136" s="3" t="s">
        <v>23</v>
      </c>
      <c r="V136" s="3" t="s">
        <v>22</v>
      </c>
      <c r="X136" s="3" t="s">
        <v>21</v>
      </c>
      <c r="Y136" s="3" t="s">
        <v>20</v>
      </c>
    </row>
    <row r="137" spans="1:25" x14ac:dyDescent="0.25">
      <c r="A137" s="3" t="s">
        <v>27</v>
      </c>
      <c r="B137" s="3">
        <v>6009</v>
      </c>
      <c r="C137" s="3">
        <v>1</v>
      </c>
      <c r="D137" s="3">
        <v>2010</v>
      </c>
      <c r="E137" s="3">
        <v>4</v>
      </c>
      <c r="F137" s="3">
        <v>1382.8530000000001</v>
      </c>
      <c r="G137" s="3">
        <f t="shared" si="2"/>
        <v>0.50333324424576864</v>
      </c>
      <c r="J137" s="3">
        <v>0.22209999999999999</v>
      </c>
      <c r="K137" s="3">
        <v>614.44100000000003</v>
      </c>
      <c r="L137" s="3">
        <v>5494781.1050000004</v>
      </c>
      <c r="M137" s="3">
        <v>710.15</v>
      </c>
      <c r="N137" s="3">
        <v>566393</v>
      </c>
      <c r="O137" s="3" t="s">
        <v>26</v>
      </c>
      <c r="P137" s="3">
        <v>34.4236</v>
      </c>
      <c r="Q137" s="3">
        <v>-92.139200000000002</v>
      </c>
      <c r="R137" s="3" t="s">
        <v>59</v>
      </c>
      <c r="S137" s="3" t="s">
        <v>25</v>
      </c>
      <c r="T137" s="3" t="s">
        <v>24</v>
      </c>
      <c r="U137" s="3" t="s">
        <v>23</v>
      </c>
      <c r="V137" s="3" t="s">
        <v>22</v>
      </c>
      <c r="X137" s="3" t="s">
        <v>21</v>
      </c>
      <c r="Y137" s="3" t="s">
        <v>20</v>
      </c>
    </row>
    <row r="138" spans="1:25" x14ac:dyDescent="0.25">
      <c r="A138" s="3" t="s">
        <v>27</v>
      </c>
      <c r="B138" s="3">
        <v>6009</v>
      </c>
      <c r="C138" s="3">
        <v>1</v>
      </c>
      <c r="D138" s="3">
        <v>2010</v>
      </c>
      <c r="E138" s="3">
        <v>5</v>
      </c>
      <c r="F138" s="3">
        <v>1388.4870000000001</v>
      </c>
      <c r="G138" s="3">
        <f t="shared" si="2"/>
        <v>0.45218556175732061</v>
      </c>
      <c r="J138" s="3">
        <v>0.2515</v>
      </c>
      <c r="K138" s="3">
        <v>769.32299999999998</v>
      </c>
      <c r="L138" s="3">
        <v>6141226.5999999996</v>
      </c>
      <c r="M138" s="3">
        <v>744</v>
      </c>
      <c r="N138" s="3">
        <v>598077</v>
      </c>
      <c r="O138" s="3" t="s">
        <v>26</v>
      </c>
      <c r="P138" s="3">
        <v>34.4236</v>
      </c>
      <c r="Q138" s="3">
        <v>-92.139200000000002</v>
      </c>
      <c r="R138" s="3" t="s">
        <v>59</v>
      </c>
      <c r="S138" s="3" t="s">
        <v>25</v>
      </c>
      <c r="T138" s="3" t="s">
        <v>24</v>
      </c>
      <c r="U138" s="3" t="s">
        <v>23</v>
      </c>
      <c r="V138" s="3" t="s">
        <v>22</v>
      </c>
      <c r="X138" s="3" t="s">
        <v>21</v>
      </c>
      <c r="Y138" s="3" t="s">
        <v>20</v>
      </c>
    </row>
    <row r="139" spans="1:25" x14ac:dyDescent="0.25">
      <c r="A139" s="3" t="s">
        <v>27</v>
      </c>
      <c r="B139" s="3">
        <v>6009</v>
      </c>
      <c r="C139" s="3">
        <v>1</v>
      </c>
      <c r="D139" s="3">
        <v>2010</v>
      </c>
      <c r="E139" s="3">
        <v>6</v>
      </c>
      <c r="F139" s="3">
        <v>1377.962</v>
      </c>
      <c r="G139" s="3">
        <f t="shared" si="2"/>
        <v>0.48971285456256608</v>
      </c>
      <c r="J139" s="3">
        <v>0.26179999999999998</v>
      </c>
      <c r="K139" s="3">
        <v>746.95699999999999</v>
      </c>
      <c r="L139" s="3">
        <v>5627632.5489999996</v>
      </c>
      <c r="M139" s="3">
        <v>670.28</v>
      </c>
      <c r="N139" s="3">
        <v>544114</v>
      </c>
      <c r="O139" s="3" t="s">
        <v>26</v>
      </c>
      <c r="P139" s="3">
        <v>34.4236</v>
      </c>
      <c r="Q139" s="3">
        <v>-92.139200000000002</v>
      </c>
      <c r="R139" s="3" t="s">
        <v>59</v>
      </c>
      <c r="S139" s="3" t="s">
        <v>25</v>
      </c>
      <c r="T139" s="3" t="s">
        <v>24</v>
      </c>
      <c r="U139" s="3" t="s">
        <v>23</v>
      </c>
      <c r="V139" s="3" t="s">
        <v>22</v>
      </c>
      <c r="X139" s="3" t="s">
        <v>21</v>
      </c>
      <c r="Y139" s="3" t="s">
        <v>20</v>
      </c>
    </row>
    <row r="140" spans="1:25" x14ac:dyDescent="0.25">
      <c r="A140" s="3" t="s">
        <v>27</v>
      </c>
      <c r="B140" s="3">
        <v>6009</v>
      </c>
      <c r="C140" s="3">
        <v>1</v>
      </c>
      <c r="D140" s="3">
        <v>2010</v>
      </c>
      <c r="E140" s="3">
        <v>7</v>
      </c>
      <c r="F140" s="3">
        <v>1500.6479999999999</v>
      </c>
      <c r="G140" s="3">
        <f t="shared" si="2"/>
        <v>0.49249523429450409</v>
      </c>
      <c r="J140" s="3">
        <v>0.26050000000000001</v>
      </c>
      <c r="K140" s="3">
        <v>793.64800000000002</v>
      </c>
      <c r="L140" s="3">
        <v>6094061</v>
      </c>
      <c r="M140" s="3">
        <v>744</v>
      </c>
      <c r="N140" s="3">
        <v>599709</v>
      </c>
      <c r="O140" s="3" t="s">
        <v>26</v>
      </c>
      <c r="P140" s="3">
        <v>34.4236</v>
      </c>
      <c r="Q140" s="3">
        <v>-92.139200000000002</v>
      </c>
      <c r="R140" s="3" t="s">
        <v>59</v>
      </c>
      <c r="S140" s="3" t="s">
        <v>25</v>
      </c>
      <c r="T140" s="3" t="s">
        <v>24</v>
      </c>
      <c r="U140" s="3" t="s">
        <v>23</v>
      </c>
      <c r="V140" s="3" t="s">
        <v>22</v>
      </c>
      <c r="X140" s="3" t="s">
        <v>21</v>
      </c>
      <c r="Y140" s="3" t="s">
        <v>20</v>
      </c>
    </row>
    <row r="141" spans="1:25" x14ac:dyDescent="0.25">
      <c r="A141" s="3" t="s">
        <v>27</v>
      </c>
      <c r="B141" s="3">
        <v>6009</v>
      </c>
      <c r="C141" s="3">
        <v>1</v>
      </c>
      <c r="D141" s="3">
        <v>2010</v>
      </c>
      <c r="E141" s="3">
        <v>8</v>
      </c>
      <c r="F141" s="3">
        <v>1584.4770000000001</v>
      </c>
      <c r="G141" s="3">
        <f t="shared" si="2"/>
        <v>0.52617218260800847</v>
      </c>
      <c r="J141" s="3">
        <v>0.25130000000000002</v>
      </c>
      <c r="K141" s="3">
        <v>758.66099999999994</v>
      </c>
      <c r="L141" s="3">
        <v>6022655.9000000004</v>
      </c>
      <c r="M141" s="3">
        <v>744</v>
      </c>
      <c r="N141" s="3">
        <v>587588</v>
      </c>
      <c r="O141" s="3" t="s">
        <v>26</v>
      </c>
      <c r="P141" s="3">
        <v>34.4236</v>
      </c>
      <c r="Q141" s="3">
        <v>-92.139200000000002</v>
      </c>
      <c r="R141" s="3" t="s">
        <v>59</v>
      </c>
      <c r="S141" s="3" t="s">
        <v>25</v>
      </c>
      <c r="T141" s="3" t="s">
        <v>24</v>
      </c>
      <c r="U141" s="3" t="s">
        <v>23</v>
      </c>
      <c r="V141" s="3" t="s">
        <v>22</v>
      </c>
      <c r="X141" s="3" t="s">
        <v>21</v>
      </c>
      <c r="Y141" s="3" t="s">
        <v>20</v>
      </c>
    </row>
    <row r="142" spans="1:25" x14ac:dyDescent="0.25">
      <c r="A142" s="3" t="s">
        <v>27</v>
      </c>
      <c r="B142" s="3">
        <v>6009</v>
      </c>
      <c r="C142" s="3">
        <v>1</v>
      </c>
      <c r="D142" s="3">
        <v>2010</v>
      </c>
      <c r="E142" s="3">
        <v>9</v>
      </c>
      <c r="F142" s="3">
        <v>1587.7919999999999</v>
      </c>
      <c r="G142" s="3">
        <f t="shared" si="2"/>
        <v>0.53829551314800539</v>
      </c>
      <c r="J142" s="3">
        <v>0.26379999999999998</v>
      </c>
      <c r="K142" s="3">
        <v>776.03</v>
      </c>
      <c r="L142" s="3">
        <v>5899332.0999999996</v>
      </c>
      <c r="M142" s="3">
        <v>720</v>
      </c>
      <c r="N142" s="3">
        <v>580151</v>
      </c>
      <c r="O142" s="3" t="s">
        <v>26</v>
      </c>
      <c r="P142" s="3">
        <v>34.4236</v>
      </c>
      <c r="Q142" s="3">
        <v>-92.139200000000002</v>
      </c>
      <c r="R142" s="3" t="s">
        <v>59</v>
      </c>
      <c r="S142" s="3" t="s">
        <v>25</v>
      </c>
      <c r="T142" s="3" t="s">
        <v>24</v>
      </c>
      <c r="U142" s="3" t="s">
        <v>23</v>
      </c>
      <c r="V142" s="3" t="s">
        <v>22</v>
      </c>
      <c r="X142" s="3" t="s">
        <v>21</v>
      </c>
      <c r="Y142" s="3" t="s">
        <v>20</v>
      </c>
    </row>
    <row r="143" spans="1:25" x14ac:dyDescent="0.25">
      <c r="A143" s="3" t="s">
        <v>27</v>
      </c>
      <c r="B143" s="3">
        <v>6009</v>
      </c>
      <c r="C143" s="3">
        <v>1</v>
      </c>
      <c r="D143" s="3">
        <v>2010</v>
      </c>
      <c r="E143" s="3">
        <v>10</v>
      </c>
      <c r="F143" s="3">
        <v>1578.0550000000001</v>
      </c>
      <c r="G143" s="3">
        <f t="shared" si="2"/>
        <v>0.52569728999833132</v>
      </c>
      <c r="J143" s="3">
        <v>0.24959999999999999</v>
      </c>
      <c r="K143" s="3">
        <v>745.95100000000002</v>
      </c>
      <c r="L143" s="3">
        <v>6003664.2000000002</v>
      </c>
      <c r="M143" s="3">
        <v>744</v>
      </c>
      <c r="N143" s="3">
        <v>588894</v>
      </c>
      <c r="O143" s="3" t="s">
        <v>26</v>
      </c>
      <c r="P143" s="3">
        <v>34.4236</v>
      </c>
      <c r="Q143" s="3">
        <v>-92.139200000000002</v>
      </c>
      <c r="R143" s="3" t="s">
        <v>59</v>
      </c>
      <c r="S143" s="3" t="s">
        <v>25</v>
      </c>
      <c r="T143" s="3" t="s">
        <v>24</v>
      </c>
      <c r="U143" s="3" t="s">
        <v>23</v>
      </c>
      <c r="V143" s="3" t="s">
        <v>22</v>
      </c>
      <c r="X143" s="3" t="s">
        <v>21</v>
      </c>
      <c r="Y143" s="3" t="s">
        <v>20</v>
      </c>
    </row>
    <row r="144" spans="1:25" x14ac:dyDescent="0.25">
      <c r="A144" s="3" t="s">
        <v>27</v>
      </c>
      <c r="B144" s="3">
        <v>6009</v>
      </c>
      <c r="C144" s="3">
        <v>1</v>
      </c>
      <c r="D144" s="3">
        <v>2010</v>
      </c>
      <c r="E144" s="3">
        <v>11</v>
      </c>
      <c r="F144" s="3">
        <v>1255.0619999999999</v>
      </c>
      <c r="G144" s="3">
        <f t="shared" si="2"/>
        <v>0.49573174329932157</v>
      </c>
      <c r="J144" s="3">
        <v>0.25359999999999999</v>
      </c>
      <c r="K144" s="3">
        <v>636.30399999999997</v>
      </c>
      <c r="L144" s="3">
        <v>5063472.4000000004</v>
      </c>
      <c r="M144" s="3">
        <v>720</v>
      </c>
      <c r="N144" s="3">
        <v>498685</v>
      </c>
      <c r="O144" s="3" t="s">
        <v>26</v>
      </c>
      <c r="P144" s="3">
        <v>34.4236</v>
      </c>
      <c r="Q144" s="3">
        <v>-92.139200000000002</v>
      </c>
      <c r="R144" s="3" t="s">
        <v>59</v>
      </c>
      <c r="S144" s="3" t="s">
        <v>25</v>
      </c>
      <c r="T144" s="3" t="s">
        <v>24</v>
      </c>
      <c r="U144" s="3" t="s">
        <v>23</v>
      </c>
      <c r="V144" s="3" t="s">
        <v>22</v>
      </c>
      <c r="X144" s="3" t="s">
        <v>21</v>
      </c>
      <c r="Y144" s="3" t="s">
        <v>20</v>
      </c>
    </row>
    <row r="145" spans="1:25" x14ac:dyDescent="0.25">
      <c r="A145" s="3" t="s">
        <v>27</v>
      </c>
      <c r="B145" s="3">
        <v>6009</v>
      </c>
      <c r="C145" s="3">
        <v>1</v>
      </c>
      <c r="D145" s="3">
        <v>2010</v>
      </c>
      <c r="E145" s="3">
        <v>12</v>
      </c>
      <c r="F145" s="3">
        <v>1461.1479999999999</v>
      </c>
      <c r="G145" s="3">
        <f t="shared" si="2"/>
        <v>0.505274255730504</v>
      </c>
      <c r="H145" s="168">
        <f>AVERAGE(G134:G145)</f>
        <v>0.50126497027963468</v>
      </c>
      <c r="I145" s="168">
        <f>MAX(G134:G145)</f>
        <v>0.53829551314800539</v>
      </c>
      <c r="J145" s="3">
        <v>0.2555</v>
      </c>
      <c r="K145" s="3">
        <v>736.08600000000001</v>
      </c>
      <c r="L145" s="3">
        <v>5783583.7999999998</v>
      </c>
      <c r="M145" s="3">
        <v>744</v>
      </c>
      <c r="N145" s="3">
        <v>570018</v>
      </c>
      <c r="O145" s="3" t="s">
        <v>26</v>
      </c>
      <c r="P145" s="3">
        <v>34.4236</v>
      </c>
      <c r="Q145" s="3">
        <v>-92.139200000000002</v>
      </c>
      <c r="R145" s="3" t="s">
        <v>59</v>
      </c>
      <c r="S145" s="3" t="s">
        <v>25</v>
      </c>
      <c r="T145" s="3" t="s">
        <v>24</v>
      </c>
      <c r="U145" s="3" t="s">
        <v>23</v>
      </c>
      <c r="V145" s="3" t="s">
        <v>22</v>
      </c>
      <c r="X145" s="3" t="s">
        <v>21</v>
      </c>
      <c r="Y145" s="3" t="s">
        <v>20</v>
      </c>
    </row>
    <row r="146" spans="1:25" x14ac:dyDescent="0.25">
      <c r="A146" s="3" t="s">
        <v>27</v>
      </c>
      <c r="B146" s="3">
        <v>6009</v>
      </c>
      <c r="C146" s="3">
        <v>1</v>
      </c>
      <c r="D146" s="3">
        <v>2011</v>
      </c>
      <c r="E146" s="3">
        <v>1</v>
      </c>
      <c r="F146" s="3">
        <v>1587.5930000000001</v>
      </c>
      <c r="G146" s="3">
        <f t="shared" si="2"/>
        <v>0.53662466417338106</v>
      </c>
      <c r="J146" s="3">
        <v>0.27089999999999997</v>
      </c>
      <c r="K146" s="3">
        <v>799.79499999999996</v>
      </c>
      <c r="L146" s="3">
        <v>5916958.7460000003</v>
      </c>
      <c r="M146" s="3">
        <v>743.98</v>
      </c>
      <c r="N146" s="3">
        <v>587140</v>
      </c>
      <c r="O146" s="3" t="s">
        <v>26</v>
      </c>
      <c r="P146" s="3">
        <v>34.4236</v>
      </c>
      <c r="Q146" s="3">
        <v>-92.139200000000002</v>
      </c>
      <c r="R146" s="3" t="s">
        <v>59</v>
      </c>
      <c r="S146" s="3" t="s">
        <v>25</v>
      </c>
      <c r="T146" s="3" t="s">
        <v>24</v>
      </c>
      <c r="U146" s="3" t="s">
        <v>23</v>
      </c>
      <c r="V146" s="3" t="s">
        <v>22</v>
      </c>
      <c r="X146" s="3" t="s">
        <v>21</v>
      </c>
      <c r="Y146" s="3" t="s">
        <v>20</v>
      </c>
    </row>
    <row r="147" spans="1:25" x14ac:dyDescent="0.25">
      <c r="A147" s="3" t="s">
        <v>27</v>
      </c>
      <c r="B147" s="3">
        <v>6009</v>
      </c>
      <c r="C147" s="3">
        <v>1</v>
      </c>
      <c r="D147" s="3">
        <v>2011</v>
      </c>
      <c r="E147" s="3">
        <v>2</v>
      </c>
      <c r="F147" s="3">
        <v>982.14400000000001</v>
      </c>
      <c r="G147" s="3">
        <f t="shared" si="2"/>
        <v>0.56340569077533931</v>
      </c>
      <c r="J147" s="3">
        <v>0.27750000000000002</v>
      </c>
      <c r="K147" s="3">
        <v>490.83199999999999</v>
      </c>
      <c r="L147" s="3">
        <v>3486453.9569999999</v>
      </c>
      <c r="M147" s="3">
        <v>500.65</v>
      </c>
      <c r="N147" s="3">
        <v>335389</v>
      </c>
      <c r="O147" s="3" t="s">
        <v>26</v>
      </c>
      <c r="P147" s="3">
        <v>34.4236</v>
      </c>
      <c r="Q147" s="3">
        <v>-92.139200000000002</v>
      </c>
      <c r="R147" s="3" t="s">
        <v>59</v>
      </c>
      <c r="S147" s="3" t="s">
        <v>25</v>
      </c>
      <c r="T147" s="3" t="s">
        <v>24</v>
      </c>
      <c r="U147" s="3" t="s">
        <v>23</v>
      </c>
      <c r="V147" s="3" t="s">
        <v>22</v>
      </c>
      <c r="X147" s="3" t="s">
        <v>21</v>
      </c>
      <c r="Y147" s="3" t="s">
        <v>20</v>
      </c>
    </row>
    <row r="148" spans="1:25" x14ac:dyDescent="0.25">
      <c r="A148" s="3" t="s">
        <v>27</v>
      </c>
      <c r="B148" s="3">
        <v>6009</v>
      </c>
      <c r="C148" s="3">
        <v>1</v>
      </c>
      <c r="D148" s="3">
        <v>2011</v>
      </c>
      <c r="E148" s="3">
        <v>3</v>
      </c>
      <c r="F148" s="3">
        <v>1270.075</v>
      </c>
      <c r="G148" s="3">
        <f t="shared" si="2"/>
        <v>0.65292431257363126</v>
      </c>
      <c r="J148" s="3">
        <v>0.26869999999999999</v>
      </c>
      <c r="K148" s="3">
        <v>539.94500000000005</v>
      </c>
      <c r="L148" s="3">
        <v>3890420.3</v>
      </c>
      <c r="M148" s="3">
        <v>489</v>
      </c>
      <c r="N148" s="3">
        <v>355388</v>
      </c>
      <c r="O148" s="3" t="s">
        <v>26</v>
      </c>
      <c r="P148" s="3">
        <v>34.4236</v>
      </c>
      <c r="Q148" s="3">
        <v>-92.139200000000002</v>
      </c>
      <c r="R148" s="3" t="s">
        <v>59</v>
      </c>
      <c r="S148" s="3" t="s">
        <v>25</v>
      </c>
      <c r="T148" s="3" t="s">
        <v>24</v>
      </c>
      <c r="U148" s="3" t="s">
        <v>23</v>
      </c>
      <c r="V148" s="3" t="s">
        <v>22</v>
      </c>
      <c r="X148" s="3" t="s">
        <v>21</v>
      </c>
      <c r="Y148" s="3" t="s">
        <v>20</v>
      </c>
    </row>
    <row r="149" spans="1:25" x14ac:dyDescent="0.25">
      <c r="A149" s="3" t="s">
        <v>27</v>
      </c>
      <c r="B149" s="3">
        <v>6009</v>
      </c>
      <c r="C149" s="3">
        <v>1</v>
      </c>
      <c r="D149" s="3">
        <v>2011</v>
      </c>
      <c r="E149" s="3">
        <v>4</v>
      </c>
      <c r="F149" s="3">
        <v>1580.2149999999999</v>
      </c>
      <c r="G149" s="3">
        <f t="shared" si="2"/>
        <v>0.59094922876781075</v>
      </c>
      <c r="J149" s="3">
        <v>0.2893</v>
      </c>
      <c r="K149" s="3">
        <v>782.97299999999996</v>
      </c>
      <c r="L149" s="3">
        <v>5348056.7300000004</v>
      </c>
      <c r="M149" s="3">
        <v>719.07</v>
      </c>
      <c r="N149" s="3">
        <v>499739</v>
      </c>
      <c r="O149" s="3" t="s">
        <v>26</v>
      </c>
      <c r="P149" s="3">
        <v>34.4236</v>
      </c>
      <c r="Q149" s="3">
        <v>-92.139200000000002</v>
      </c>
      <c r="R149" s="3" t="s">
        <v>59</v>
      </c>
      <c r="S149" s="3" t="s">
        <v>25</v>
      </c>
      <c r="T149" s="3" t="s">
        <v>24</v>
      </c>
      <c r="U149" s="3" t="s">
        <v>23</v>
      </c>
      <c r="V149" s="3" t="s">
        <v>22</v>
      </c>
      <c r="X149" s="3" t="s">
        <v>21</v>
      </c>
      <c r="Y149" s="3" t="s">
        <v>20</v>
      </c>
    </row>
    <row r="150" spans="1:25" x14ac:dyDescent="0.25">
      <c r="A150" s="3" t="s">
        <v>27</v>
      </c>
      <c r="B150" s="3">
        <v>6009</v>
      </c>
      <c r="C150" s="3">
        <v>1</v>
      </c>
      <c r="D150" s="3">
        <v>2011</v>
      </c>
      <c r="E150" s="3">
        <v>5</v>
      </c>
      <c r="F150" s="3">
        <v>1543.2819999999999</v>
      </c>
      <c r="G150" s="3">
        <f t="shared" si="2"/>
        <v>0.58173360067331559</v>
      </c>
      <c r="J150" s="3">
        <v>0.29949999999999999</v>
      </c>
      <c r="K150" s="3">
        <v>792.95299999999997</v>
      </c>
      <c r="L150" s="3">
        <v>5305803.2</v>
      </c>
      <c r="M150" s="3">
        <v>744</v>
      </c>
      <c r="N150" s="3">
        <v>487116</v>
      </c>
      <c r="O150" s="3" t="s">
        <v>26</v>
      </c>
      <c r="P150" s="3">
        <v>34.4236</v>
      </c>
      <c r="Q150" s="3">
        <v>-92.139200000000002</v>
      </c>
      <c r="R150" s="3" t="s">
        <v>59</v>
      </c>
      <c r="S150" s="3" t="s">
        <v>25</v>
      </c>
      <c r="T150" s="3" t="s">
        <v>24</v>
      </c>
      <c r="U150" s="3" t="s">
        <v>23</v>
      </c>
      <c r="V150" s="3" t="s">
        <v>22</v>
      </c>
      <c r="X150" s="3" t="s">
        <v>21</v>
      </c>
      <c r="Y150" s="3" t="s">
        <v>20</v>
      </c>
    </row>
    <row r="151" spans="1:25" x14ac:dyDescent="0.25">
      <c r="A151" s="3" t="s">
        <v>27</v>
      </c>
      <c r="B151" s="3">
        <v>6009</v>
      </c>
      <c r="C151" s="3">
        <v>1</v>
      </c>
      <c r="D151" s="3">
        <v>2011</v>
      </c>
      <c r="E151" s="3">
        <v>6</v>
      </c>
      <c r="F151" s="3">
        <v>1736.653</v>
      </c>
      <c r="G151" s="3">
        <f t="shared" si="2"/>
        <v>0.60492891248501768</v>
      </c>
      <c r="J151" s="3">
        <v>0.26740000000000003</v>
      </c>
      <c r="K151" s="3">
        <v>766.60500000000002</v>
      </c>
      <c r="L151" s="3">
        <v>5741676.2999999998</v>
      </c>
      <c r="M151" s="3">
        <v>720</v>
      </c>
      <c r="N151" s="3">
        <v>527565</v>
      </c>
      <c r="O151" s="3" t="s">
        <v>26</v>
      </c>
      <c r="P151" s="3">
        <v>34.4236</v>
      </c>
      <c r="Q151" s="3">
        <v>-92.139200000000002</v>
      </c>
      <c r="R151" s="3" t="s">
        <v>59</v>
      </c>
      <c r="S151" s="3" t="s">
        <v>25</v>
      </c>
      <c r="T151" s="3" t="s">
        <v>24</v>
      </c>
      <c r="U151" s="3" t="s">
        <v>23</v>
      </c>
      <c r="V151" s="3" t="s">
        <v>22</v>
      </c>
      <c r="X151" s="3" t="s">
        <v>21</v>
      </c>
      <c r="Y151" s="3" t="s">
        <v>20</v>
      </c>
    </row>
    <row r="152" spans="1:25" x14ac:dyDescent="0.25">
      <c r="A152" s="3" t="s">
        <v>27</v>
      </c>
      <c r="B152" s="3">
        <v>6009</v>
      </c>
      <c r="C152" s="3">
        <v>1</v>
      </c>
      <c r="D152" s="3">
        <v>2011</v>
      </c>
      <c r="E152" s="3">
        <v>7</v>
      </c>
      <c r="F152" s="3">
        <v>1672.2629999999999</v>
      </c>
      <c r="G152" s="3">
        <f t="shared" si="2"/>
        <v>0.56384575986953789</v>
      </c>
      <c r="J152" s="3">
        <v>0.26119999999999999</v>
      </c>
      <c r="K152" s="3">
        <v>784.81899999999996</v>
      </c>
      <c r="L152" s="3">
        <v>5931632.7939999998</v>
      </c>
      <c r="M152" s="3">
        <v>697.57</v>
      </c>
      <c r="N152" s="3">
        <v>542143</v>
      </c>
      <c r="O152" s="3" t="s">
        <v>26</v>
      </c>
      <c r="P152" s="3">
        <v>34.4236</v>
      </c>
      <c r="Q152" s="3">
        <v>-92.139200000000002</v>
      </c>
      <c r="R152" s="3" t="s">
        <v>59</v>
      </c>
      <c r="S152" s="3" t="s">
        <v>25</v>
      </c>
      <c r="T152" s="3" t="s">
        <v>24</v>
      </c>
      <c r="U152" s="3" t="s">
        <v>23</v>
      </c>
      <c r="V152" s="3" t="s">
        <v>22</v>
      </c>
      <c r="X152" s="3" t="s">
        <v>21</v>
      </c>
      <c r="Y152" s="3" t="s">
        <v>20</v>
      </c>
    </row>
    <row r="153" spans="1:25" x14ac:dyDescent="0.25">
      <c r="A153" s="3" t="s">
        <v>27</v>
      </c>
      <c r="B153" s="3">
        <v>6009</v>
      </c>
      <c r="C153" s="3">
        <v>1</v>
      </c>
      <c r="D153" s="3">
        <v>2011</v>
      </c>
      <c r="E153" s="3">
        <v>8</v>
      </c>
      <c r="F153" s="3">
        <v>1867.673</v>
      </c>
      <c r="G153" s="3">
        <f t="shared" si="2"/>
        <v>0.57585135204695881</v>
      </c>
      <c r="J153" s="3">
        <v>0.27600000000000002</v>
      </c>
      <c r="K153" s="3">
        <v>892.23900000000003</v>
      </c>
      <c r="L153" s="3">
        <v>6486649.7000000002</v>
      </c>
      <c r="M153" s="3">
        <v>744</v>
      </c>
      <c r="N153" s="3">
        <v>596147</v>
      </c>
      <c r="O153" s="3" t="s">
        <v>26</v>
      </c>
      <c r="P153" s="3">
        <v>34.4236</v>
      </c>
      <c r="Q153" s="3">
        <v>-92.139200000000002</v>
      </c>
      <c r="R153" s="3" t="s">
        <v>59</v>
      </c>
      <c r="S153" s="3" t="s">
        <v>25</v>
      </c>
      <c r="T153" s="3" t="s">
        <v>24</v>
      </c>
      <c r="U153" s="3" t="s">
        <v>23</v>
      </c>
      <c r="V153" s="3" t="s">
        <v>22</v>
      </c>
      <c r="X153" s="3" t="s">
        <v>21</v>
      </c>
      <c r="Y153" s="3" t="s">
        <v>20</v>
      </c>
    </row>
    <row r="154" spans="1:25" x14ac:dyDescent="0.25">
      <c r="A154" s="3" t="s">
        <v>27</v>
      </c>
      <c r="B154" s="3">
        <v>6009</v>
      </c>
      <c r="C154" s="3">
        <v>1</v>
      </c>
      <c r="D154" s="3">
        <v>2011</v>
      </c>
      <c r="E154" s="3">
        <v>9</v>
      </c>
      <c r="F154" s="3">
        <v>1373.896</v>
      </c>
      <c r="G154" s="3">
        <f t="shared" si="2"/>
        <v>0.52320337881955681</v>
      </c>
      <c r="J154" s="3">
        <v>0.27210000000000001</v>
      </c>
      <c r="K154" s="3">
        <v>719.15300000000002</v>
      </c>
      <c r="L154" s="3">
        <v>5251862.108</v>
      </c>
      <c r="M154" s="3">
        <v>677.47</v>
      </c>
      <c r="N154" s="3">
        <v>489482</v>
      </c>
      <c r="O154" s="3" t="s">
        <v>26</v>
      </c>
      <c r="P154" s="3">
        <v>34.4236</v>
      </c>
      <c r="Q154" s="3">
        <v>-92.139200000000002</v>
      </c>
      <c r="R154" s="3" t="s">
        <v>59</v>
      </c>
      <c r="S154" s="3" t="s">
        <v>25</v>
      </c>
      <c r="T154" s="3" t="s">
        <v>24</v>
      </c>
      <c r="U154" s="3" t="s">
        <v>23</v>
      </c>
      <c r="V154" s="3" t="s">
        <v>22</v>
      </c>
      <c r="X154" s="3" t="s">
        <v>21</v>
      </c>
      <c r="Y154" s="3" t="s">
        <v>20</v>
      </c>
    </row>
    <row r="155" spans="1:25" x14ac:dyDescent="0.25">
      <c r="A155" s="3" t="s">
        <v>27</v>
      </c>
      <c r="B155" s="3">
        <v>6009</v>
      </c>
      <c r="C155" s="3">
        <v>1</v>
      </c>
      <c r="D155" s="3">
        <v>2011</v>
      </c>
      <c r="E155" s="3">
        <v>10</v>
      </c>
      <c r="F155" s="3">
        <v>335.90100000000001</v>
      </c>
      <c r="G155" s="3">
        <f t="shared" si="2"/>
        <v>0.526677458792433</v>
      </c>
      <c r="J155" s="3">
        <v>0.29899999999999999</v>
      </c>
      <c r="K155" s="3">
        <v>188.215</v>
      </c>
      <c r="L155" s="3">
        <v>1275547.28</v>
      </c>
      <c r="M155" s="3">
        <v>165.4</v>
      </c>
      <c r="N155" s="3">
        <v>120975</v>
      </c>
      <c r="O155" s="3" t="s">
        <v>26</v>
      </c>
      <c r="P155" s="3">
        <v>34.4236</v>
      </c>
      <c r="Q155" s="3">
        <v>-92.139200000000002</v>
      </c>
      <c r="R155" s="3" t="s">
        <v>59</v>
      </c>
      <c r="S155" s="3" t="s">
        <v>25</v>
      </c>
      <c r="T155" s="3" t="s">
        <v>24</v>
      </c>
      <c r="U155" s="3" t="s">
        <v>23</v>
      </c>
      <c r="V155" s="3" t="s">
        <v>22</v>
      </c>
      <c r="X155" s="3" t="s">
        <v>21</v>
      </c>
      <c r="Y155" s="3" t="s">
        <v>20</v>
      </c>
    </row>
    <row r="156" spans="1:25" x14ac:dyDescent="0.25">
      <c r="A156" s="3" t="s">
        <v>27</v>
      </c>
      <c r="B156" s="3">
        <v>6009</v>
      </c>
      <c r="C156" s="3">
        <v>1</v>
      </c>
      <c r="D156" s="3">
        <v>2011</v>
      </c>
      <c r="E156" s="3">
        <v>11</v>
      </c>
      <c r="G156" s="3" t="str">
        <f t="shared" si="2"/>
        <v/>
      </c>
      <c r="M156" s="3">
        <v>0</v>
      </c>
      <c r="O156" s="3" t="s">
        <v>26</v>
      </c>
      <c r="P156" s="3">
        <v>34.4236</v>
      </c>
      <c r="Q156" s="3">
        <v>-92.139200000000002</v>
      </c>
      <c r="R156" s="3" t="s">
        <v>59</v>
      </c>
      <c r="S156" s="3" t="s">
        <v>25</v>
      </c>
      <c r="T156" s="3" t="s">
        <v>24</v>
      </c>
      <c r="U156" s="3" t="s">
        <v>23</v>
      </c>
      <c r="V156" s="3" t="s">
        <v>22</v>
      </c>
      <c r="X156" s="3" t="s">
        <v>21</v>
      </c>
      <c r="Y156" s="3" t="s">
        <v>20</v>
      </c>
    </row>
    <row r="157" spans="1:25" x14ac:dyDescent="0.25">
      <c r="A157" s="3" t="s">
        <v>27</v>
      </c>
      <c r="B157" s="3">
        <v>6009</v>
      </c>
      <c r="C157" s="3">
        <v>1</v>
      </c>
      <c r="D157" s="3">
        <v>2011</v>
      </c>
      <c r="E157" s="3">
        <v>12</v>
      </c>
      <c r="F157" s="3">
        <v>1068.327</v>
      </c>
      <c r="G157" s="3">
        <f t="shared" si="2"/>
        <v>0.56211282778957306</v>
      </c>
      <c r="H157" s="168">
        <f>AVERAGE(G146:G157)</f>
        <v>0.57111428970605038</v>
      </c>
      <c r="I157" s="169">
        <f>MAX(G146:G157)</f>
        <v>0.65292431257363126</v>
      </c>
      <c r="J157" s="3">
        <v>0.24149999999999999</v>
      </c>
      <c r="K157" s="3">
        <v>511.83699999999999</v>
      </c>
      <c r="L157" s="3">
        <v>3801112.3289999999</v>
      </c>
      <c r="M157" s="3">
        <v>685.7</v>
      </c>
      <c r="N157" s="3">
        <v>347818</v>
      </c>
      <c r="O157" s="3" t="s">
        <v>26</v>
      </c>
      <c r="P157" s="3">
        <v>34.4236</v>
      </c>
      <c r="Q157" s="3">
        <v>-92.139200000000002</v>
      </c>
      <c r="R157" s="3" t="s">
        <v>59</v>
      </c>
      <c r="S157" s="3" t="s">
        <v>25</v>
      </c>
      <c r="T157" s="3" t="s">
        <v>24</v>
      </c>
      <c r="U157" s="3" t="s">
        <v>23</v>
      </c>
      <c r="V157" s="3" t="s">
        <v>22</v>
      </c>
      <c r="X157" s="3" t="s">
        <v>21</v>
      </c>
      <c r="Y157" s="3" t="s">
        <v>20</v>
      </c>
    </row>
    <row r="158" spans="1:25" x14ac:dyDescent="0.25">
      <c r="A158" s="3" t="s">
        <v>27</v>
      </c>
      <c r="B158" s="3">
        <v>6009</v>
      </c>
      <c r="C158" s="3">
        <v>1</v>
      </c>
      <c r="D158" s="3">
        <v>2012</v>
      </c>
      <c r="E158" s="3">
        <v>1</v>
      </c>
      <c r="F158" s="3">
        <v>1507.886</v>
      </c>
      <c r="G158" s="3">
        <f t="shared" si="2"/>
        <v>0.60817526252280285</v>
      </c>
      <c r="J158" s="3">
        <v>0.26069999999999999</v>
      </c>
      <c r="K158" s="3">
        <v>657.58699999999999</v>
      </c>
      <c r="L158" s="3">
        <v>4958721.9110000003</v>
      </c>
      <c r="M158" s="3">
        <v>732.13</v>
      </c>
      <c r="N158" s="3">
        <v>462786.04</v>
      </c>
      <c r="O158" s="3" t="s">
        <v>26</v>
      </c>
      <c r="P158" s="3">
        <v>34.4236</v>
      </c>
      <c r="Q158" s="3">
        <v>-92.139200000000002</v>
      </c>
      <c r="R158" s="3" t="s">
        <v>59</v>
      </c>
      <c r="S158" s="3" t="s">
        <v>25</v>
      </c>
      <c r="T158" s="3" t="s">
        <v>24</v>
      </c>
      <c r="U158" s="3" t="s">
        <v>23</v>
      </c>
      <c r="V158" s="3" t="s">
        <v>22</v>
      </c>
      <c r="X158" s="3" t="s">
        <v>21</v>
      </c>
      <c r="Y158" s="3" t="s">
        <v>20</v>
      </c>
    </row>
    <row r="159" spans="1:25" x14ac:dyDescent="0.25">
      <c r="A159" s="3" t="s">
        <v>27</v>
      </c>
      <c r="B159" s="3">
        <v>6009</v>
      </c>
      <c r="C159" s="3">
        <v>1</v>
      </c>
      <c r="D159" s="3">
        <v>2012</v>
      </c>
      <c r="E159" s="3">
        <v>2</v>
      </c>
      <c r="F159" s="3">
        <v>1521.489</v>
      </c>
      <c r="G159" s="3">
        <f t="shared" si="2"/>
        <v>0.62067080006900655</v>
      </c>
      <c r="J159" s="3">
        <v>0.26950000000000002</v>
      </c>
      <c r="K159" s="3">
        <v>647.01199999999994</v>
      </c>
      <c r="L159" s="3">
        <v>4902724.5999999996</v>
      </c>
      <c r="M159" s="3">
        <v>696</v>
      </c>
      <c r="N159" s="3">
        <v>461945</v>
      </c>
      <c r="O159" s="3" t="s">
        <v>26</v>
      </c>
      <c r="P159" s="3">
        <v>34.4236</v>
      </c>
      <c r="Q159" s="3">
        <v>-92.139200000000002</v>
      </c>
      <c r="R159" s="3" t="s">
        <v>59</v>
      </c>
      <c r="S159" s="3" t="s">
        <v>25</v>
      </c>
      <c r="T159" s="3" t="s">
        <v>24</v>
      </c>
      <c r="U159" s="3" t="s">
        <v>23</v>
      </c>
      <c r="V159" s="3" t="s">
        <v>22</v>
      </c>
      <c r="X159" s="3" t="s">
        <v>21</v>
      </c>
      <c r="Y159" s="3" t="s">
        <v>20</v>
      </c>
    </row>
    <row r="160" spans="1:25" x14ac:dyDescent="0.25">
      <c r="A160" s="3" t="s">
        <v>27</v>
      </c>
      <c r="B160" s="3">
        <v>6009</v>
      </c>
      <c r="C160" s="3">
        <v>1</v>
      </c>
      <c r="D160" s="3">
        <v>2012</v>
      </c>
      <c r="E160" s="3">
        <v>3</v>
      </c>
      <c r="F160" s="3">
        <v>1104.203</v>
      </c>
      <c r="G160" s="3">
        <f t="shared" si="2"/>
        <v>0.59622398778245445</v>
      </c>
      <c r="J160" s="3">
        <v>0.2636</v>
      </c>
      <c r="K160" s="3">
        <v>491.815</v>
      </c>
      <c r="L160" s="3">
        <v>3703987.1680000001</v>
      </c>
      <c r="M160" s="3">
        <v>661.44</v>
      </c>
      <c r="N160" s="3">
        <v>341946.6</v>
      </c>
      <c r="O160" s="3" t="s">
        <v>26</v>
      </c>
      <c r="P160" s="3">
        <v>34.4236</v>
      </c>
      <c r="Q160" s="3">
        <v>-92.139200000000002</v>
      </c>
      <c r="R160" s="3" t="s">
        <v>59</v>
      </c>
      <c r="S160" s="3" t="s">
        <v>25</v>
      </c>
      <c r="T160" s="3" t="s">
        <v>24</v>
      </c>
      <c r="U160" s="3" t="s">
        <v>23</v>
      </c>
      <c r="V160" s="3" t="s">
        <v>22</v>
      </c>
      <c r="X160" s="3" t="s">
        <v>21</v>
      </c>
      <c r="Y160" s="3" t="s">
        <v>20</v>
      </c>
    </row>
    <row r="161" spans="1:25" x14ac:dyDescent="0.25">
      <c r="A161" s="3" t="s">
        <v>27</v>
      </c>
      <c r="B161" s="3">
        <v>6009</v>
      </c>
      <c r="C161" s="3">
        <v>1</v>
      </c>
      <c r="D161" s="3">
        <v>2012</v>
      </c>
      <c r="E161" s="3">
        <v>4</v>
      </c>
      <c r="F161" s="3">
        <v>957.57299999999998</v>
      </c>
      <c r="G161" s="3">
        <f t="shared" si="2"/>
        <v>0.57162614788763644</v>
      </c>
      <c r="J161" s="3">
        <v>0.26329999999999998</v>
      </c>
      <c r="K161" s="3">
        <v>452.30099999999999</v>
      </c>
      <c r="L161" s="3">
        <v>3350347.088</v>
      </c>
      <c r="M161" s="3">
        <v>659.6</v>
      </c>
      <c r="N161" s="3">
        <v>309648.64000000001</v>
      </c>
      <c r="O161" s="3" t="s">
        <v>26</v>
      </c>
      <c r="P161" s="3">
        <v>34.4236</v>
      </c>
      <c r="Q161" s="3">
        <v>-92.139200000000002</v>
      </c>
      <c r="R161" s="3" t="s">
        <v>59</v>
      </c>
      <c r="S161" s="3" t="s">
        <v>25</v>
      </c>
      <c r="T161" s="3" t="s">
        <v>24</v>
      </c>
      <c r="U161" s="3" t="s">
        <v>23</v>
      </c>
      <c r="V161" s="3" t="s">
        <v>22</v>
      </c>
      <c r="X161" s="3" t="s">
        <v>21</v>
      </c>
      <c r="Y161" s="3" t="s">
        <v>20</v>
      </c>
    </row>
    <row r="162" spans="1:25" x14ac:dyDescent="0.25">
      <c r="A162" s="3" t="s">
        <v>27</v>
      </c>
      <c r="B162" s="3">
        <v>6009</v>
      </c>
      <c r="C162" s="3">
        <v>1</v>
      </c>
      <c r="D162" s="3">
        <v>2012</v>
      </c>
      <c r="E162" s="3">
        <v>5</v>
      </c>
      <c r="F162" s="3">
        <v>1548.1220000000001</v>
      </c>
      <c r="G162" s="3">
        <f t="shared" si="2"/>
        <v>0.60384171629233596</v>
      </c>
      <c r="J162" s="3">
        <v>0.27960000000000002</v>
      </c>
      <c r="K162" s="3">
        <v>714.67100000000005</v>
      </c>
      <c r="L162" s="3">
        <v>5127575.5159999998</v>
      </c>
      <c r="M162" s="3">
        <v>743.53</v>
      </c>
      <c r="N162" s="3">
        <v>481123.03</v>
      </c>
      <c r="O162" s="3" t="s">
        <v>26</v>
      </c>
      <c r="P162" s="3">
        <v>34.4236</v>
      </c>
      <c r="Q162" s="3">
        <v>-92.139200000000002</v>
      </c>
      <c r="R162" s="3" t="s">
        <v>59</v>
      </c>
      <c r="S162" s="3" t="s">
        <v>25</v>
      </c>
      <c r="T162" s="3" t="s">
        <v>24</v>
      </c>
      <c r="U162" s="3" t="s">
        <v>23</v>
      </c>
      <c r="V162" s="3" t="s">
        <v>22</v>
      </c>
      <c r="X162" s="3" t="s">
        <v>21</v>
      </c>
      <c r="Y162" s="3" t="s">
        <v>20</v>
      </c>
    </row>
    <row r="163" spans="1:25" x14ac:dyDescent="0.25">
      <c r="A163" s="3" t="s">
        <v>27</v>
      </c>
      <c r="B163" s="3">
        <v>6009</v>
      </c>
      <c r="C163" s="3">
        <v>1</v>
      </c>
      <c r="D163" s="3">
        <v>2012</v>
      </c>
      <c r="E163" s="3">
        <v>6</v>
      </c>
      <c r="F163" s="3">
        <v>1509.4590000000001</v>
      </c>
      <c r="G163" s="3">
        <f t="shared" si="2"/>
        <v>0.63416398238757332</v>
      </c>
      <c r="J163" s="3">
        <v>0.27050000000000002</v>
      </c>
      <c r="K163" s="3">
        <v>641.89800000000002</v>
      </c>
      <c r="L163" s="3">
        <v>4760469.0329999998</v>
      </c>
      <c r="M163" s="3">
        <v>705.73</v>
      </c>
      <c r="N163" s="3">
        <v>444149.82</v>
      </c>
      <c r="O163" s="3" t="s">
        <v>26</v>
      </c>
      <c r="P163" s="3">
        <v>34.4236</v>
      </c>
      <c r="Q163" s="3">
        <v>-92.139200000000002</v>
      </c>
      <c r="R163" s="3" t="s">
        <v>59</v>
      </c>
      <c r="S163" s="3" t="s">
        <v>25</v>
      </c>
      <c r="T163" s="3" t="s">
        <v>24</v>
      </c>
      <c r="U163" s="3" t="s">
        <v>23</v>
      </c>
      <c r="V163" s="3" t="s">
        <v>22</v>
      </c>
      <c r="X163" s="3" t="s">
        <v>21</v>
      </c>
      <c r="Y163" s="3" t="s">
        <v>20</v>
      </c>
    </row>
    <row r="164" spans="1:25" x14ac:dyDescent="0.25">
      <c r="A164" s="3" t="s">
        <v>27</v>
      </c>
      <c r="B164" s="3">
        <v>6009</v>
      </c>
      <c r="C164" s="3">
        <v>1</v>
      </c>
      <c r="D164" s="3">
        <v>2012</v>
      </c>
      <c r="E164" s="3">
        <v>7</v>
      </c>
      <c r="F164" s="3">
        <v>1340.326</v>
      </c>
      <c r="G164" s="3">
        <f t="shared" si="2"/>
        <v>0.60322060809695555</v>
      </c>
      <c r="J164" s="3">
        <v>0.26600000000000001</v>
      </c>
      <c r="K164" s="3">
        <v>580.62400000000002</v>
      </c>
      <c r="L164" s="3">
        <v>4443899.9000000004</v>
      </c>
      <c r="M164" s="3">
        <v>744</v>
      </c>
      <c r="N164" s="3">
        <v>404201</v>
      </c>
      <c r="O164" s="3" t="s">
        <v>26</v>
      </c>
      <c r="P164" s="3">
        <v>34.4236</v>
      </c>
      <c r="Q164" s="3">
        <v>-92.139200000000002</v>
      </c>
      <c r="R164" s="3" t="s">
        <v>59</v>
      </c>
      <c r="S164" s="3" t="s">
        <v>25</v>
      </c>
      <c r="T164" s="3" t="s">
        <v>24</v>
      </c>
      <c r="U164" s="3" t="s">
        <v>23</v>
      </c>
      <c r="V164" s="3" t="s">
        <v>22</v>
      </c>
      <c r="X164" s="3" t="s">
        <v>21</v>
      </c>
      <c r="Y164" s="3" t="s">
        <v>20</v>
      </c>
    </row>
    <row r="165" spans="1:25" x14ac:dyDescent="0.25">
      <c r="A165" s="3" t="s">
        <v>27</v>
      </c>
      <c r="B165" s="3">
        <v>6009</v>
      </c>
      <c r="C165" s="3">
        <v>1</v>
      </c>
      <c r="D165" s="3">
        <v>2012</v>
      </c>
      <c r="E165" s="3">
        <v>8</v>
      </c>
      <c r="F165" s="3">
        <v>1629.9179999999999</v>
      </c>
      <c r="G165" s="3">
        <f t="shared" si="2"/>
        <v>0.60386032874846918</v>
      </c>
      <c r="J165" s="3">
        <v>0.29870000000000002</v>
      </c>
      <c r="K165" s="3">
        <v>793.18799999999999</v>
      </c>
      <c r="L165" s="3">
        <v>5398327.7999999998</v>
      </c>
      <c r="M165" s="3">
        <v>744</v>
      </c>
      <c r="N165" s="3">
        <v>490920</v>
      </c>
      <c r="O165" s="3" t="s">
        <v>26</v>
      </c>
      <c r="P165" s="3">
        <v>34.4236</v>
      </c>
      <c r="Q165" s="3">
        <v>-92.139200000000002</v>
      </c>
      <c r="R165" s="3" t="s">
        <v>59</v>
      </c>
      <c r="S165" s="3" t="s">
        <v>25</v>
      </c>
      <c r="T165" s="3" t="s">
        <v>24</v>
      </c>
      <c r="U165" s="3" t="s">
        <v>23</v>
      </c>
      <c r="V165" s="3" t="s">
        <v>22</v>
      </c>
      <c r="X165" s="3" t="s">
        <v>21</v>
      </c>
      <c r="Y165" s="3" t="s">
        <v>20</v>
      </c>
    </row>
    <row r="166" spans="1:25" x14ac:dyDescent="0.25">
      <c r="A166" s="3" t="s">
        <v>27</v>
      </c>
      <c r="B166" s="3">
        <v>6009</v>
      </c>
      <c r="C166" s="3">
        <v>1</v>
      </c>
      <c r="D166" s="3">
        <v>2012</v>
      </c>
      <c r="E166" s="3">
        <v>9</v>
      </c>
      <c r="F166" s="3">
        <v>1731.604</v>
      </c>
      <c r="G166" s="3">
        <f t="shared" si="2"/>
        <v>0.60856037864626444</v>
      </c>
      <c r="J166" s="3">
        <v>0.27329999999999999</v>
      </c>
      <c r="K166" s="3">
        <v>773.25199999999995</v>
      </c>
      <c r="L166" s="3">
        <v>5690820.7000000002</v>
      </c>
      <c r="M166" s="3">
        <v>720</v>
      </c>
      <c r="N166" s="3">
        <v>526335</v>
      </c>
      <c r="O166" s="3" t="s">
        <v>26</v>
      </c>
      <c r="P166" s="3">
        <v>34.4236</v>
      </c>
      <c r="Q166" s="3">
        <v>-92.139200000000002</v>
      </c>
      <c r="R166" s="3" t="s">
        <v>59</v>
      </c>
      <c r="S166" s="3" t="s">
        <v>25</v>
      </c>
      <c r="T166" s="3" t="s">
        <v>24</v>
      </c>
      <c r="U166" s="3" t="s">
        <v>23</v>
      </c>
      <c r="V166" s="3" t="s">
        <v>22</v>
      </c>
      <c r="X166" s="3" t="s">
        <v>21</v>
      </c>
      <c r="Y166" s="3" t="s">
        <v>20</v>
      </c>
    </row>
    <row r="167" spans="1:25" x14ac:dyDescent="0.25">
      <c r="A167" s="3" t="s">
        <v>27</v>
      </c>
      <c r="B167" s="3">
        <v>6009</v>
      </c>
      <c r="C167" s="3">
        <v>1</v>
      </c>
      <c r="D167" s="3">
        <v>2012</v>
      </c>
      <c r="E167" s="3">
        <v>10</v>
      </c>
      <c r="F167" s="3">
        <v>706.755</v>
      </c>
      <c r="G167" s="3">
        <f t="shared" si="2"/>
        <v>0.60547085613873752</v>
      </c>
      <c r="J167" s="3">
        <v>0.27779999999999999</v>
      </c>
      <c r="K167" s="3">
        <v>325.15800000000002</v>
      </c>
      <c r="L167" s="3">
        <v>2334563.2340000002</v>
      </c>
      <c r="M167" s="3">
        <v>287.77999999999997</v>
      </c>
      <c r="N167" s="3">
        <v>219543.52</v>
      </c>
      <c r="O167" s="3" t="s">
        <v>26</v>
      </c>
      <c r="P167" s="3">
        <v>34.4236</v>
      </c>
      <c r="Q167" s="3">
        <v>-92.139200000000002</v>
      </c>
      <c r="R167" s="3" t="s">
        <v>59</v>
      </c>
      <c r="S167" s="3" t="s">
        <v>25</v>
      </c>
      <c r="T167" s="3" t="s">
        <v>24</v>
      </c>
      <c r="U167" s="3" t="s">
        <v>23</v>
      </c>
      <c r="V167" s="3" t="s">
        <v>22</v>
      </c>
      <c r="X167" s="3" t="s">
        <v>21</v>
      </c>
      <c r="Y167" s="3" t="s">
        <v>20</v>
      </c>
    </row>
    <row r="168" spans="1:25" x14ac:dyDescent="0.25">
      <c r="A168" s="3" t="s">
        <v>27</v>
      </c>
      <c r="B168" s="3">
        <v>6009</v>
      </c>
      <c r="C168" s="3">
        <v>1</v>
      </c>
      <c r="D168" s="3">
        <v>2012</v>
      </c>
      <c r="E168" s="3">
        <v>11</v>
      </c>
      <c r="F168" s="3">
        <v>465.97</v>
      </c>
      <c r="G168" s="3">
        <f t="shared" si="2"/>
        <v>0.54944594171683281</v>
      </c>
      <c r="J168" s="3">
        <v>0.2384</v>
      </c>
      <c r="K168" s="3">
        <v>227.94499999999999</v>
      </c>
      <c r="L168" s="3">
        <v>1696145.024</v>
      </c>
      <c r="M168" s="3">
        <v>245.01</v>
      </c>
      <c r="N168" s="3">
        <v>160024.34</v>
      </c>
      <c r="O168" s="3" t="s">
        <v>26</v>
      </c>
      <c r="P168" s="3">
        <v>34.4236</v>
      </c>
      <c r="Q168" s="3">
        <v>-92.139200000000002</v>
      </c>
      <c r="R168" s="3" t="s">
        <v>59</v>
      </c>
      <c r="S168" s="3" t="s">
        <v>25</v>
      </c>
      <c r="T168" s="3" t="s">
        <v>24</v>
      </c>
      <c r="U168" s="3" t="s">
        <v>23</v>
      </c>
      <c r="V168" s="3" t="s">
        <v>22</v>
      </c>
      <c r="X168" s="3" t="s">
        <v>21</v>
      </c>
      <c r="Y168" s="3" t="s">
        <v>20</v>
      </c>
    </row>
    <row r="169" spans="1:25" x14ac:dyDescent="0.25">
      <c r="A169" s="3" t="s">
        <v>27</v>
      </c>
      <c r="B169" s="3">
        <v>6009</v>
      </c>
      <c r="C169" s="3">
        <v>1</v>
      </c>
      <c r="D169" s="3">
        <v>2012</v>
      </c>
      <c r="E169" s="3">
        <v>12</v>
      </c>
      <c r="F169" s="3">
        <v>1208.5989999999999</v>
      </c>
      <c r="G169" s="3">
        <f t="shared" si="2"/>
        <v>0.55941620544740722</v>
      </c>
      <c r="H169" s="168">
        <f>AVERAGE(G158:G169)</f>
        <v>0.59705635131137302</v>
      </c>
      <c r="I169" s="168">
        <f>MAX(G158:G169)</f>
        <v>0.63416398238757332</v>
      </c>
      <c r="J169" s="3">
        <v>0.26540000000000002</v>
      </c>
      <c r="K169" s="3">
        <v>585.34100000000001</v>
      </c>
      <c r="L169" s="3">
        <v>4320929.5269999998</v>
      </c>
      <c r="M169" s="3">
        <v>659.92</v>
      </c>
      <c r="N169" s="3">
        <v>407493.36</v>
      </c>
      <c r="O169" s="3" t="s">
        <v>26</v>
      </c>
      <c r="P169" s="3">
        <v>34.4236</v>
      </c>
      <c r="Q169" s="3">
        <v>-92.139200000000002</v>
      </c>
      <c r="R169" s="3" t="s">
        <v>59</v>
      </c>
      <c r="S169" s="3" t="s">
        <v>25</v>
      </c>
      <c r="T169" s="3" t="s">
        <v>24</v>
      </c>
      <c r="U169" s="3" t="s">
        <v>23</v>
      </c>
      <c r="V169" s="3" t="s">
        <v>22</v>
      </c>
      <c r="X169" s="3" t="s">
        <v>21</v>
      </c>
      <c r="Y169" s="3" t="s">
        <v>20</v>
      </c>
    </row>
    <row r="170" spans="1:25" x14ac:dyDescent="0.25">
      <c r="A170" s="3" t="s">
        <v>27</v>
      </c>
      <c r="B170" s="3">
        <v>6009</v>
      </c>
      <c r="C170" s="3">
        <v>1</v>
      </c>
      <c r="D170" s="3">
        <v>2013</v>
      </c>
      <c r="E170" s="3">
        <v>1</v>
      </c>
      <c r="F170" s="3">
        <v>1794.41</v>
      </c>
      <c r="G170" s="3">
        <f t="shared" si="2"/>
        <v>0.60039962287859805</v>
      </c>
      <c r="J170" s="3">
        <v>0.29720000000000002</v>
      </c>
      <c r="K170" s="3">
        <v>883.63599999999997</v>
      </c>
      <c r="L170" s="3">
        <v>5977385.5</v>
      </c>
      <c r="M170" s="3">
        <v>744</v>
      </c>
      <c r="N170" s="3">
        <v>559529</v>
      </c>
      <c r="O170" s="3" t="s">
        <v>26</v>
      </c>
      <c r="P170" s="3">
        <v>34.4236</v>
      </c>
      <c r="Q170" s="3">
        <v>-92.139200000000002</v>
      </c>
      <c r="R170" s="3" t="s">
        <v>59</v>
      </c>
      <c r="S170" s="3" t="s">
        <v>25</v>
      </c>
      <c r="T170" s="3" t="s">
        <v>24</v>
      </c>
      <c r="U170" s="3" t="s">
        <v>23</v>
      </c>
      <c r="V170" s="3" t="s">
        <v>22</v>
      </c>
      <c r="X170" s="3" t="s">
        <v>21</v>
      </c>
      <c r="Y170" s="3" t="s">
        <v>20</v>
      </c>
    </row>
    <row r="171" spans="1:25" x14ac:dyDescent="0.25">
      <c r="A171" s="3" t="s">
        <v>27</v>
      </c>
      <c r="B171" s="3">
        <v>6009</v>
      </c>
      <c r="C171" s="3">
        <v>1</v>
      </c>
      <c r="D171" s="3">
        <v>2013</v>
      </c>
      <c r="E171" s="3">
        <v>2</v>
      </c>
      <c r="F171" s="3">
        <v>1402.393</v>
      </c>
      <c r="G171" s="3">
        <f t="shared" si="2"/>
        <v>0.54423058851571104</v>
      </c>
      <c r="J171" s="3">
        <v>0.33029999999999998</v>
      </c>
      <c r="K171" s="3">
        <v>852.76599999999996</v>
      </c>
      <c r="L171" s="3">
        <v>5153672.0999999996</v>
      </c>
      <c r="M171" s="3">
        <v>672</v>
      </c>
      <c r="N171" s="3">
        <v>478900</v>
      </c>
      <c r="O171" s="3" t="s">
        <v>26</v>
      </c>
      <c r="P171" s="3">
        <v>34.4236</v>
      </c>
      <c r="Q171" s="3">
        <v>-92.139200000000002</v>
      </c>
      <c r="R171" s="3" t="s">
        <v>59</v>
      </c>
      <c r="S171" s="3" t="s">
        <v>25</v>
      </c>
      <c r="T171" s="3" t="s">
        <v>24</v>
      </c>
      <c r="U171" s="3" t="s">
        <v>23</v>
      </c>
      <c r="V171" s="3" t="s">
        <v>22</v>
      </c>
      <c r="X171" s="3" t="s">
        <v>21</v>
      </c>
      <c r="Y171" s="3" t="s">
        <v>20</v>
      </c>
    </row>
    <row r="172" spans="1:25" x14ac:dyDescent="0.25">
      <c r="A172" s="3" t="s">
        <v>27</v>
      </c>
      <c r="B172" s="3">
        <v>6009</v>
      </c>
      <c r="C172" s="3">
        <v>1</v>
      </c>
      <c r="D172" s="3">
        <v>2013</v>
      </c>
      <c r="E172" s="3">
        <v>3</v>
      </c>
      <c r="F172" s="3">
        <v>1639.0119999999999</v>
      </c>
      <c r="G172" s="3">
        <f t="shared" si="2"/>
        <v>0.55986703340706223</v>
      </c>
      <c r="J172" s="3">
        <v>0.34970000000000001</v>
      </c>
      <c r="K172" s="3">
        <v>1026.115</v>
      </c>
      <c r="L172" s="3">
        <v>5855004.5</v>
      </c>
      <c r="M172" s="3">
        <v>744</v>
      </c>
      <c r="N172" s="3">
        <v>547328</v>
      </c>
      <c r="O172" s="3" t="s">
        <v>26</v>
      </c>
      <c r="P172" s="3">
        <v>34.4236</v>
      </c>
      <c r="Q172" s="3">
        <v>-92.139200000000002</v>
      </c>
      <c r="R172" s="3" t="s">
        <v>59</v>
      </c>
      <c r="S172" s="3" t="s">
        <v>25</v>
      </c>
      <c r="T172" s="3" t="s">
        <v>24</v>
      </c>
      <c r="U172" s="3" t="s">
        <v>23</v>
      </c>
      <c r="V172" s="3" t="s">
        <v>22</v>
      </c>
      <c r="X172" s="3" t="s">
        <v>21</v>
      </c>
      <c r="Y172" s="3" t="s">
        <v>20</v>
      </c>
    </row>
    <row r="173" spans="1:25" x14ac:dyDescent="0.25">
      <c r="A173" s="3" t="s">
        <v>27</v>
      </c>
      <c r="B173" s="3">
        <v>6009</v>
      </c>
      <c r="C173" s="3">
        <v>1</v>
      </c>
      <c r="D173" s="3">
        <v>2013</v>
      </c>
      <c r="E173" s="3">
        <v>4</v>
      </c>
      <c r="F173" s="3">
        <v>1633.5119999999999</v>
      </c>
      <c r="G173" s="3">
        <f t="shared" si="2"/>
        <v>0.54287127979178573</v>
      </c>
      <c r="J173" s="3">
        <v>0.32990000000000003</v>
      </c>
      <c r="K173" s="3">
        <v>991.42600000000004</v>
      </c>
      <c r="L173" s="3">
        <v>6018045.3849999998</v>
      </c>
      <c r="M173" s="3">
        <v>719.97</v>
      </c>
      <c r="N173" s="3">
        <v>564671.4</v>
      </c>
      <c r="O173" s="3" t="s">
        <v>26</v>
      </c>
      <c r="P173" s="3">
        <v>34.4236</v>
      </c>
      <c r="Q173" s="3">
        <v>-92.139200000000002</v>
      </c>
      <c r="R173" s="3" t="s">
        <v>59</v>
      </c>
      <c r="S173" s="3" t="s">
        <v>25</v>
      </c>
      <c r="T173" s="3" t="s">
        <v>24</v>
      </c>
      <c r="U173" s="3" t="s">
        <v>23</v>
      </c>
      <c r="V173" s="3" t="s">
        <v>22</v>
      </c>
      <c r="X173" s="3" t="s">
        <v>21</v>
      </c>
      <c r="Y173" s="3" t="s">
        <v>20</v>
      </c>
    </row>
    <row r="174" spans="1:25" x14ac:dyDescent="0.25">
      <c r="A174" s="3" t="s">
        <v>27</v>
      </c>
      <c r="B174" s="3">
        <v>6009</v>
      </c>
      <c r="C174" s="3">
        <v>1</v>
      </c>
      <c r="D174" s="3">
        <v>2013</v>
      </c>
      <c r="E174" s="3">
        <v>5</v>
      </c>
      <c r="F174" s="3">
        <v>1546.625</v>
      </c>
      <c r="G174" s="3">
        <f t="shared" si="2"/>
        <v>0.55552873221362498</v>
      </c>
      <c r="J174" s="3">
        <v>0.34699999999999998</v>
      </c>
      <c r="K174" s="3">
        <v>972.28499999999997</v>
      </c>
      <c r="L174" s="3">
        <v>5568118.8399999999</v>
      </c>
      <c r="M174" s="3">
        <v>694.2</v>
      </c>
      <c r="N174" s="3">
        <v>518674.8</v>
      </c>
      <c r="O174" s="3" t="s">
        <v>26</v>
      </c>
      <c r="P174" s="3">
        <v>34.4236</v>
      </c>
      <c r="Q174" s="3">
        <v>-92.139200000000002</v>
      </c>
      <c r="R174" s="3" t="s">
        <v>59</v>
      </c>
      <c r="S174" s="3" t="s">
        <v>25</v>
      </c>
      <c r="T174" s="3" t="s">
        <v>24</v>
      </c>
      <c r="U174" s="3" t="s">
        <v>23</v>
      </c>
      <c r="V174" s="3" t="s">
        <v>22</v>
      </c>
      <c r="X174" s="3" t="s">
        <v>21</v>
      </c>
      <c r="Y174" s="3" t="s">
        <v>20</v>
      </c>
    </row>
    <row r="175" spans="1:25" x14ac:dyDescent="0.25">
      <c r="A175" s="3" t="s">
        <v>27</v>
      </c>
      <c r="B175" s="3">
        <v>6009</v>
      </c>
      <c r="C175" s="3">
        <v>1</v>
      </c>
      <c r="D175" s="3">
        <v>2013</v>
      </c>
      <c r="E175" s="3">
        <v>6</v>
      </c>
      <c r="F175" s="3">
        <v>1449.867</v>
      </c>
      <c r="G175" s="3">
        <f t="shared" si="2"/>
        <v>0.51377583501070612</v>
      </c>
      <c r="J175" s="3">
        <v>0.2702</v>
      </c>
      <c r="K175" s="3">
        <v>775.20799999999997</v>
      </c>
      <c r="L175" s="3">
        <v>5643967.2759999996</v>
      </c>
      <c r="M175" s="3">
        <v>703.83</v>
      </c>
      <c r="N175" s="3">
        <v>520089.4</v>
      </c>
      <c r="O175" s="3" t="s">
        <v>26</v>
      </c>
      <c r="P175" s="3">
        <v>34.4236</v>
      </c>
      <c r="Q175" s="3">
        <v>-92.139200000000002</v>
      </c>
      <c r="R175" s="3" t="s">
        <v>59</v>
      </c>
      <c r="S175" s="3" t="s">
        <v>25</v>
      </c>
      <c r="T175" s="3" t="s">
        <v>24</v>
      </c>
      <c r="U175" s="3" t="s">
        <v>23</v>
      </c>
      <c r="V175" s="3" t="s">
        <v>22</v>
      </c>
      <c r="X175" s="3" t="s">
        <v>21</v>
      </c>
      <c r="Y175" s="3" t="s">
        <v>20</v>
      </c>
    </row>
    <row r="176" spans="1:25" x14ac:dyDescent="0.25">
      <c r="A176" s="3" t="s">
        <v>27</v>
      </c>
      <c r="B176" s="3">
        <v>6009</v>
      </c>
      <c r="C176" s="3">
        <v>1</v>
      </c>
      <c r="D176" s="3">
        <v>2013</v>
      </c>
      <c r="E176" s="3">
        <v>7</v>
      </c>
      <c r="F176" s="3">
        <v>1560.741</v>
      </c>
      <c r="G176" s="3">
        <f t="shared" si="2"/>
        <v>0.57639580094661313</v>
      </c>
      <c r="J176" s="3">
        <v>0.26429999999999998</v>
      </c>
      <c r="K176" s="3">
        <v>725.28700000000003</v>
      </c>
      <c r="L176" s="3">
        <v>5415518.2860000003</v>
      </c>
      <c r="M176" s="3">
        <v>689.72</v>
      </c>
      <c r="N176" s="3">
        <v>496485.4</v>
      </c>
      <c r="O176" s="3" t="s">
        <v>26</v>
      </c>
      <c r="P176" s="3">
        <v>34.4236</v>
      </c>
      <c r="Q176" s="3">
        <v>-92.139200000000002</v>
      </c>
      <c r="R176" s="3" t="s">
        <v>59</v>
      </c>
      <c r="S176" s="3" t="s">
        <v>25</v>
      </c>
      <c r="T176" s="3" t="s">
        <v>24</v>
      </c>
      <c r="U176" s="3" t="s">
        <v>23</v>
      </c>
      <c r="V176" s="3" t="s">
        <v>22</v>
      </c>
      <c r="X176" s="3" t="s">
        <v>21</v>
      </c>
      <c r="Y176" s="3" t="s">
        <v>20</v>
      </c>
    </row>
    <row r="177" spans="1:25" x14ac:dyDescent="0.25">
      <c r="A177" s="3" t="s">
        <v>27</v>
      </c>
      <c r="B177" s="3">
        <v>6009</v>
      </c>
      <c r="C177" s="3">
        <v>1</v>
      </c>
      <c r="D177" s="3">
        <v>2013</v>
      </c>
      <c r="E177" s="3">
        <v>8</v>
      </c>
      <c r="F177" s="3">
        <v>1855.527</v>
      </c>
      <c r="G177" s="3">
        <f t="shared" si="2"/>
        <v>0.60692422878517149</v>
      </c>
      <c r="J177" s="3">
        <v>0.2949</v>
      </c>
      <c r="K177" s="3">
        <v>897.55700000000002</v>
      </c>
      <c r="L177" s="3">
        <v>6114526.0379999997</v>
      </c>
      <c r="M177" s="3">
        <v>743.21</v>
      </c>
      <c r="N177" s="3">
        <v>562640.92000000004</v>
      </c>
      <c r="O177" s="3" t="s">
        <v>26</v>
      </c>
      <c r="P177" s="3">
        <v>34.4236</v>
      </c>
      <c r="Q177" s="3">
        <v>-92.139200000000002</v>
      </c>
      <c r="R177" s="3" t="s">
        <v>59</v>
      </c>
      <c r="S177" s="3" t="s">
        <v>25</v>
      </c>
      <c r="T177" s="3" t="s">
        <v>24</v>
      </c>
      <c r="U177" s="3" t="s">
        <v>23</v>
      </c>
      <c r="V177" s="3" t="s">
        <v>22</v>
      </c>
      <c r="X177" s="3" t="s">
        <v>21</v>
      </c>
      <c r="Y177" s="3" t="s">
        <v>20</v>
      </c>
    </row>
    <row r="178" spans="1:25" x14ac:dyDescent="0.25">
      <c r="A178" s="3" t="s">
        <v>27</v>
      </c>
      <c r="B178" s="3">
        <v>6009</v>
      </c>
      <c r="C178" s="3">
        <v>1</v>
      </c>
      <c r="D178" s="3">
        <v>2013</v>
      </c>
      <c r="E178" s="3">
        <v>9</v>
      </c>
      <c r="F178" s="3">
        <v>1491.8689999999999</v>
      </c>
      <c r="G178" s="3">
        <f t="shared" si="2"/>
        <v>0.58255407609270304</v>
      </c>
      <c r="J178" s="3">
        <v>0.27750000000000002</v>
      </c>
      <c r="K178" s="3">
        <v>726.11900000000003</v>
      </c>
      <c r="L178" s="3">
        <v>5121821.5140000004</v>
      </c>
      <c r="M178" s="3">
        <v>681.45</v>
      </c>
      <c r="N178" s="3">
        <v>475860.4</v>
      </c>
      <c r="O178" s="3" t="s">
        <v>26</v>
      </c>
      <c r="P178" s="3">
        <v>34.4236</v>
      </c>
      <c r="Q178" s="3">
        <v>-92.139200000000002</v>
      </c>
      <c r="R178" s="3" t="s">
        <v>59</v>
      </c>
      <c r="S178" s="3" t="s">
        <v>25</v>
      </c>
      <c r="T178" s="3" t="s">
        <v>24</v>
      </c>
      <c r="U178" s="3" t="s">
        <v>23</v>
      </c>
      <c r="V178" s="3" t="s">
        <v>22</v>
      </c>
      <c r="X178" s="3" t="s">
        <v>21</v>
      </c>
      <c r="Y178" s="3" t="s">
        <v>20</v>
      </c>
    </row>
    <row r="179" spans="1:25" x14ac:dyDescent="0.25">
      <c r="A179" s="3" t="s">
        <v>27</v>
      </c>
      <c r="B179" s="3">
        <v>6009</v>
      </c>
      <c r="C179" s="3">
        <v>1</v>
      </c>
      <c r="D179" s="3">
        <v>2013</v>
      </c>
      <c r="E179" s="3">
        <v>10</v>
      </c>
      <c r="F179" s="3">
        <v>666.83600000000001</v>
      </c>
      <c r="G179" s="3">
        <f t="shared" si="2"/>
        <v>0.57907036141819135</v>
      </c>
      <c r="J179" s="3">
        <v>0.31819999999999998</v>
      </c>
      <c r="K179" s="3">
        <v>374.16699999999997</v>
      </c>
      <c r="L179" s="3">
        <v>2303125.9909999999</v>
      </c>
      <c r="M179" s="3">
        <v>355.87</v>
      </c>
      <c r="N179" s="3">
        <v>211839.35999999999</v>
      </c>
      <c r="O179" s="3" t="s">
        <v>26</v>
      </c>
      <c r="P179" s="3">
        <v>34.4236</v>
      </c>
      <c r="Q179" s="3">
        <v>-92.139200000000002</v>
      </c>
      <c r="R179" s="3" t="s">
        <v>59</v>
      </c>
      <c r="S179" s="3" t="s">
        <v>25</v>
      </c>
      <c r="T179" s="3" t="s">
        <v>24</v>
      </c>
      <c r="U179" s="3" t="s">
        <v>23</v>
      </c>
      <c r="V179" s="3" t="s">
        <v>22</v>
      </c>
      <c r="X179" s="3" t="s">
        <v>21</v>
      </c>
      <c r="Y179" s="3" t="s">
        <v>20</v>
      </c>
    </row>
    <row r="180" spans="1:25" x14ac:dyDescent="0.25">
      <c r="A180" s="3" t="s">
        <v>27</v>
      </c>
      <c r="B180" s="3">
        <v>6009</v>
      </c>
      <c r="C180" s="3">
        <v>1</v>
      </c>
      <c r="D180" s="3">
        <v>2013</v>
      </c>
      <c r="E180" s="3">
        <v>11</v>
      </c>
      <c r="F180" s="3">
        <v>676.48400000000004</v>
      </c>
      <c r="G180" s="3">
        <f t="shared" si="2"/>
        <v>0.59964117704700926</v>
      </c>
      <c r="J180" s="3">
        <v>0.27510000000000001</v>
      </c>
      <c r="K180" s="3">
        <v>329.37900000000002</v>
      </c>
      <c r="L180" s="3">
        <v>2256296.0180000002</v>
      </c>
      <c r="M180" s="3">
        <v>377.79</v>
      </c>
      <c r="N180" s="3">
        <v>205658.97</v>
      </c>
      <c r="O180" s="3" t="s">
        <v>26</v>
      </c>
      <c r="P180" s="3">
        <v>34.4236</v>
      </c>
      <c r="Q180" s="3">
        <v>-92.139200000000002</v>
      </c>
      <c r="R180" s="3" t="s">
        <v>59</v>
      </c>
      <c r="S180" s="3" t="s">
        <v>25</v>
      </c>
      <c r="T180" s="3" t="s">
        <v>24</v>
      </c>
      <c r="U180" s="3" t="s">
        <v>23</v>
      </c>
      <c r="V180" s="3" t="s">
        <v>22</v>
      </c>
      <c r="X180" s="3" t="s">
        <v>21</v>
      </c>
      <c r="Y180" s="3" t="s">
        <v>20</v>
      </c>
    </row>
    <row r="181" spans="1:25" x14ac:dyDescent="0.25">
      <c r="A181" s="3" t="s">
        <v>27</v>
      </c>
      <c r="B181" s="3">
        <v>6009</v>
      </c>
      <c r="C181" s="3">
        <v>1</v>
      </c>
      <c r="D181" s="3">
        <v>2013</v>
      </c>
      <c r="E181" s="3">
        <v>12</v>
      </c>
      <c r="F181" s="3">
        <v>1509.7919999999999</v>
      </c>
      <c r="G181" s="3">
        <f t="shared" si="2"/>
        <v>0.63825443034096463</v>
      </c>
      <c r="H181" s="168">
        <f>AVERAGE(G170:G181)</f>
        <v>0.574959430537345</v>
      </c>
      <c r="I181" s="168">
        <f>MAX(G170:G181)</f>
        <v>0.63825443034096463</v>
      </c>
      <c r="J181" s="3">
        <v>0.28460000000000002</v>
      </c>
      <c r="K181" s="3">
        <v>689.97400000000005</v>
      </c>
      <c r="L181" s="3">
        <v>4731003.5880000005</v>
      </c>
      <c r="M181" s="3">
        <v>699.16</v>
      </c>
      <c r="N181" s="3">
        <v>444076.08</v>
      </c>
      <c r="O181" s="3" t="s">
        <v>26</v>
      </c>
      <c r="P181" s="3">
        <v>34.4236</v>
      </c>
      <c r="Q181" s="3">
        <v>-92.139200000000002</v>
      </c>
      <c r="R181" s="3" t="s">
        <v>59</v>
      </c>
      <c r="S181" s="3" t="s">
        <v>25</v>
      </c>
      <c r="T181" s="3" t="s">
        <v>24</v>
      </c>
      <c r="U181" s="3" t="s">
        <v>23</v>
      </c>
      <c r="V181" s="3" t="s">
        <v>22</v>
      </c>
      <c r="X181" s="3" t="s">
        <v>21</v>
      </c>
      <c r="Y181" s="3" t="s">
        <v>20</v>
      </c>
    </row>
    <row r="182" spans="1:25" x14ac:dyDescent="0.25">
      <c r="A182" s="3" t="s">
        <v>27</v>
      </c>
      <c r="B182" s="3">
        <v>6009</v>
      </c>
      <c r="C182" s="3">
        <v>2</v>
      </c>
      <c r="D182" s="3">
        <v>2009</v>
      </c>
      <c r="E182" s="3">
        <v>1</v>
      </c>
      <c r="F182" s="3">
        <v>1405.367</v>
      </c>
      <c r="G182" s="3">
        <f t="shared" si="2"/>
        <v>0.63883240346420811</v>
      </c>
      <c r="J182" s="3">
        <v>0.27689999999999998</v>
      </c>
      <c r="K182" s="3">
        <v>644.88099999999997</v>
      </c>
      <c r="L182" s="3">
        <v>4399798.7340000002</v>
      </c>
      <c r="M182" s="3">
        <v>625.58000000000004</v>
      </c>
      <c r="N182" s="3">
        <v>448201</v>
      </c>
      <c r="O182" s="3" t="s">
        <v>26</v>
      </c>
      <c r="P182" s="3">
        <v>34.4236</v>
      </c>
      <c r="Q182" s="3">
        <v>-92.139200000000002</v>
      </c>
      <c r="R182" s="3" t="s">
        <v>59</v>
      </c>
      <c r="S182" s="3" t="s">
        <v>25</v>
      </c>
      <c r="T182" s="3" t="s">
        <v>24</v>
      </c>
      <c r="U182" s="3" t="s">
        <v>23</v>
      </c>
      <c r="V182" s="3" t="s">
        <v>22</v>
      </c>
      <c r="X182" s="3" t="s">
        <v>21</v>
      </c>
      <c r="Y182" s="3" t="s">
        <v>20</v>
      </c>
    </row>
    <row r="183" spans="1:25" x14ac:dyDescent="0.25">
      <c r="A183" s="3" t="s">
        <v>27</v>
      </c>
      <c r="B183" s="3">
        <v>6009</v>
      </c>
      <c r="C183" s="3">
        <v>2</v>
      </c>
      <c r="D183" s="3">
        <v>2009</v>
      </c>
      <c r="E183" s="3">
        <v>2</v>
      </c>
      <c r="F183" s="3">
        <v>358.88</v>
      </c>
      <c r="G183" s="3">
        <f t="shared" si="2"/>
        <v>0.67875133282587119</v>
      </c>
      <c r="J183" s="3">
        <v>0.28949999999999998</v>
      </c>
      <c r="K183" s="3">
        <v>153.47200000000001</v>
      </c>
      <c r="L183" s="3">
        <v>1057471.22</v>
      </c>
      <c r="M183" s="3">
        <v>143.6</v>
      </c>
      <c r="N183" s="3">
        <v>108729</v>
      </c>
      <c r="O183" s="3" t="s">
        <v>26</v>
      </c>
      <c r="P183" s="3">
        <v>34.4236</v>
      </c>
      <c r="Q183" s="3">
        <v>-92.139200000000002</v>
      </c>
      <c r="R183" s="3" t="s">
        <v>59</v>
      </c>
      <c r="S183" s="3" t="s">
        <v>25</v>
      </c>
      <c r="T183" s="3" t="s">
        <v>24</v>
      </c>
      <c r="U183" s="3" t="s">
        <v>23</v>
      </c>
      <c r="V183" s="3" t="s">
        <v>22</v>
      </c>
      <c r="X183" s="3" t="s">
        <v>21</v>
      </c>
      <c r="Y183" s="3" t="s">
        <v>20</v>
      </c>
    </row>
    <row r="184" spans="1:25" x14ac:dyDescent="0.25">
      <c r="A184" s="3" t="s">
        <v>27</v>
      </c>
      <c r="B184" s="3">
        <v>6009</v>
      </c>
      <c r="C184" s="3">
        <v>2</v>
      </c>
      <c r="D184" s="3">
        <v>2009</v>
      </c>
      <c r="E184" s="3">
        <v>3</v>
      </c>
      <c r="F184" s="3">
        <v>1088.6130000000001</v>
      </c>
      <c r="G184" s="3">
        <f t="shared" si="2"/>
        <v>0.63004971348880623</v>
      </c>
      <c r="J184" s="3">
        <v>0.2492</v>
      </c>
      <c r="K184" s="3">
        <v>461.27600000000001</v>
      </c>
      <c r="L184" s="3">
        <v>3455641.6000000001</v>
      </c>
      <c r="M184" s="3">
        <v>521.29999999999995</v>
      </c>
      <c r="N184" s="3">
        <v>349612</v>
      </c>
      <c r="O184" s="3" t="s">
        <v>26</v>
      </c>
      <c r="P184" s="3">
        <v>34.4236</v>
      </c>
      <c r="Q184" s="3">
        <v>-92.139200000000002</v>
      </c>
      <c r="R184" s="3" t="s">
        <v>59</v>
      </c>
      <c r="S184" s="3" t="s">
        <v>25</v>
      </c>
      <c r="T184" s="3" t="s">
        <v>24</v>
      </c>
      <c r="U184" s="3" t="s">
        <v>23</v>
      </c>
      <c r="V184" s="3" t="s">
        <v>22</v>
      </c>
      <c r="X184" s="3" t="s">
        <v>21</v>
      </c>
      <c r="Y184" s="3" t="s">
        <v>20</v>
      </c>
    </row>
    <row r="185" spans="1:25" x14ac:dyDescent="0.25">
      <c r="A185" s="3" t="s">
        <v>27</v>
      </c>
      <c r="B185" s="3">
        <v>6009</v>
      </c>
      <c r="C185" s="3">
        <v>2</v>
      </c>
      <c r="D185" s="3">
        <v>2009</v>
      </c>
      <c r="E185" s="3">
        <v>4</v>
      </c>
      <c r="F185" s="3">
        <v>1563.7049999999999</v>
      </c>
      <c r="G185" s="3">
        <f t="shared" si="2"/>
        <v>0.58820216997269303</v>
      </c>
      <c r="J185" s="3">
        <v>0.27739999999999998</v>
      </c>
      <c r="K185" s="3">
        <v>730.976</v>
      </c>
      <c r="L185" s="3">
        <v>5316896.4000000004</v>
      </c>
      <c r="M185" s="3">
        <v>720</v>
      </c>
      <c r="N185" s="3">
        <v>558089</v>
      </c>
      <c r="O185" s="3" t="s">
        <v>26</v>
      </c>
      <c r="P185" s="3">
        <v>34.4236</v>
      </c>
      <c r="Q185" s="3">
        <v>-92.139200000000002</v>
      </c>
      <c r="R185" s="3" t="s">
        <v>59</v>
      </c>
      <c r="S185" s="3" t="s">
        <v>25</v>
      </c>
      <c r="T185" s="3" t="s">
        <v>24</v>
      </c>
      <c r="U185" s="3" t="s">
        <v>23</v>
      </c>
      <c r="V185" s="3" t="s">
        <v>22</v>
      </c>
      <c r="X185" s="3" t="s">
        <v>21</v>
      </c>
      <c r="Y185" s="3" t="s">
        <v>20</v>
      </c>
    </row>
    <row r="186" spans="1:25" x14ac:dyDescent="0.25">
      <c r="A186" s="3" t="s">
        <v>27</v>
      </c>
      <c r="B186" s="3">
        <v>6009</v>
      </c>
      <c r="C186" s="3">
        <v>2</v>
      </c>
      <c r="D186" s="3">
        <v>2009</v>
      </c>
      <c r="E186" s="3">
        <v>5</v>
      </c>
      <c r="F186" s="3">
        <v>1484.16</v>
      </c>
      <c r="G186" s="3">
        <f t="shared" si="2"/>
        <v>0.63813036868983641</v>
      </c>
      <c r="J186" s="3">
        <v>0.2626</v>
      </c>
      <c r="K186" s="3">
        <v>616.88099999999997</v>
      </c>
      <c r="L186" s="3">
        <v>4651588.6809999999</v>
      </c>
      <c r="M186" s="3">
        <v>646.75</v>
      </c>
      <c r="N186" s="3">
        <v>479860</v>
      </c>
      <c r="O186" s="3" t="s">
        <v>26</v>
      </c>
      <c r="P186" s="3">
        <v>34.4236</v>
      </c>
      <c r="Q186" s="3">
        <v>-92.139200000000002</v>
      </c>
      <c r="R186" s="3" t="s">
        <v>59</v>
      </c>
      <c r="S186" s="3" t="s">
        <v>25</v>
      </c>
      <c r="T186" s="3" t="s">
        <v>24</v>
      </c>
      <c r="U186" s="3" t="s">
        <v>23</v>
      </c>
      <c r="V186" s="3" t="s">
        <v>22</v>
      </c>
      <c r="X186" s="3" t="s">
        <v>21</v>
      </c>
      <c r="Y186" s="3" t="s">
        <v>20</v>
      </c>
    </row>
    <row r="187" spans="1:25" x14ac:dyDescent="0.25">
      <c r="A187" s="3" t="s">
        <v>27</v>
      </c>
      <c r="B187" s="3">
        <v>6009</v>
      </c>
      <c r="C187" s="3">
        <v>2</v>
      </c>
      <c r="D187" s="3">
        <v>2009</v>
      </c>
      <c r="E187" s="3">
        <v>6</v>
      </c>
      <c r="F187" s="3">
        <v>1498.1130000000001</v>
      </c>
      <c r="G187" s="3">
        <f t="shared" si="2"/>
        <v>0.61512405706713758</v>
      </c>
      <c r="J187" s="3">
        <v>0.26040000000000002</v>
      </c>
      <c r="K187" s="3">
        <v>643.91300000000001</v>
      </c>
      <c r="L187" s="3">
        <v>4870929.6370000001</v>
      </c>
      <c r="M187" s="3">
        <v>665.65</v>
      </c>
      <c r="N187" s="3">
        <v>506771</v>
      </c>
      <c r="O187" s="3" t="s">
        <v>26</v>
      </c>
      <c r="P187" s="3">
        <v>34.4236</v>
      </c>
      <c r="Q187" s="3">
        <v>-92.139200000000002</v>
      </c>
      <c r="R187" s="3" t="s">
        <v>59</v>
      </c>
      <c r="S187" s="3" t="s">
        <v>25</v>
      </c>
      <c r="T187" s="3" t="s">
        <v>24</v>
      </c>
      <c r="U187" s="3" t="s">
        <v>23</v>
      </c>
      <c r="V187" s="3" t="s">
        <v>22</v>
      </c>
      <c r="X187" s="3" t="s">
        <v>21</v>
      </c>
      <c r="Y187" s="3" t="s">
        <v>20</v>
      </c>
    </row>
    <row r="188" spans="1:25" x14ac:dyDescent="0.25">
      <c r="A188" s="3" t="s">
        <v>27</v>
      </c>
      <c r="B188" s="3">
        <v>6009</v>
      </c>
      <c r="C188" s="3">
        <v>2</v>
      </c>
      <c r="D188" s="3">
        <v>2009</v>
      </c>
      <c r="E188" s="3">
        <v>7</v>
      </c>
      <c r="F188" s="3">
        <v>1708.731</v>
      </c>
      <c r="G188" s="3">
        <f t="shared" si="2"/>
        <v>0.6168551316175912</v>
      </c>
      <c r="J188" s="3">
        <v>0.27689999999999998</v>
      </c>
      <c r="K188" s="3">
        <v>773.20799999999997</v>
      </c>
      <c r="L188" s="3">
        <v>5540137.0999999996</v>
      </c>
      <c r="M188" s="3">
        <v>744</v>
      </c>
      <c r="N188" s="3">
        <v>572172</v>
      </c>
      <c r="O188" s="3" t="s">
        <v>26</v>
      </c>
      <c r="P188" s="3">
        <v>34.4236</v>
      </c>
      <c r="Q188" s="3">
        <v>-92.139200000000002</v>
      </c>
      <c r="R188" s="3" t="s">
        <v>59</v>
      </c>
      <c r="S188" s="3" t="s">
        <v>25</v>
      </c>
      <c r="T188" s="3" t="s">
        <v>24</v>
      </c>
      <c r="U188" s="3" t="s">
        <v>23</v>
      </c>
      <c r="V188" s="3" t="s">
        <v>22</v>
      </c>
      <c r="X188" s="3" t="s">
        <v>21</v>
      </c>
      <c r="Y188" s="3" t="s">
        <v>20</v>
      </c>
    </row>
    <row r="189" spans="1:25" x14ac:dyDescent="0.25">
      <c r="A189" s="3" t="s">
        <v>27</v>
      </c>
      <c r="B189" s="3">
        <v>6009</v>
      </c>
      <c r="C189" s="3">
        <v>2</v>
      </c>
      <c r="D189" s="3">
        <v>2009</v>
      </c>
      <c r="E189" s="3">
        <v>8</v>
      </c>
      <c r="F189" s="3">
        <v>1817.626</v>
      </c>
      <c r="G189" s="3">
        <f t="shared" si="2"/>
        <v>0.62335661107368467</v>
      </c>
      <c r="J189" s="3">
        <v>0.2606</v>
      </c>
      <c r="K189" s="3">
        <v>757.37900000000002</v>
      </c>
      <c r="L189" s="3">
        <v>5831737.2999999998</v>
      </c>
      <c r="M189" s="3">
        <v>744</v>
      </c>
      <c r="N189" s="3">
        <v>604210</v>
      </c>
      <c r="O189" s="3" t="s">
        <v>26</v>
      </c>
      <c r="P189" s="3">
        <v>34.4236</v>
      </c>
      <c r="Q189" s="3">
        <v>-92.139200000000002</v>
      </c>
      <c r="R189" s="3" t="s">
        <v>59</v>
      </c>
      <c r="S189" s="3" t="s">
        <v>25</v>
      </c>
      <c r="T189" s="3" t="s">
        <v>24</v>
      </c>
      <c r="U189" s="3" t="s">
        <v>23</v>
      </c>
      <c r="V189" s="3" t="s">
        <v>22</v>
      </c>
      <c r="X189" s="3" t="s">
        <v>21</v>
      </c>
      <c r="Y189" s="3" t="s">
        <v>20</v>
      </c>
    </row>
    <row r="190" spans="1:25" x14ac:dyDescent="0.25">
      <c r="A190" s="3" t="s">
        <v>27</v>
      </c>
      <c r="B190" s="3">
        <v>6009</v>
      </c>
      <c r="C190" s="3">
        <v>2</v>
      </c>
      <c r="D190" s="3">
        <v>2009</v>
      </c>
      <c r="E190" s="3">
        <v>9</v>
      </c>
      <c r="F190" s="3">
        <v>1770.904</v>
      </c>
      <c r="G190" s="3">
        <f t="shared" si="2"/>
        <v>0.62557643095869697</v>
      </c>
      <c r="J190" s="3">
        <v>0.31809999999999999</v>
      </c>
      <c r="K190" s="3">
        <v>903.95399999999995</v>
      </c>
      <c r="L190" s="3">
        <v>5661671.0999999996</v>
      </c>
      <c r="M190" s="3">
        <v>720</v>
      </c>
      <c r="N190" s="3">
        <v>584005</v>
      </c>
      <c r="O190" s="3" t="s">
        <v>26</v>
      </c>
      <c r="P190" s="3">
        <v>34.4236</v>
      </c>
      <c r="Q190" s="3">
        <v>-92.139200000000002</v>
      </c>
      <c r="R190" s="3" t="s">
        <v>59</v>
      </c>
      <c r="S190" s="3" t="s">
        <v>25</v>
      </c>
      <c r="T190" s="3" t="s">
        <v>24</v>
      </c>
      <c r="U190" s="3" t="s">
        <v>23</v>
      </c>
      <c r="V190" s="3" t="s">
        <v>22</v>
      </c>
      <c r="X190" s="3" t="s">
        <v>21</v>
      </c>
      <c r="Y190" s="3" t="s">
        <v>20</v>
      </c>
    </row>
    <row r="191" spans="1:25" x14ac:dyDescent="0.25">
      <c r="A191" s="3" t="s">
        <v>27</v>
      </c>
      <c r="B191" s="3">
        <v>6009</v>
      </c>
      <c r="C191" s="3">
        <v>2</v>
      </c>
      <c r="D191" s="3">
        <v>2009</v>
      </c>
      <c r="E191" s="3">
        <v>10</v>
      </c>
      <c r="F191" s="3">
        <v>1848.0329999999999</v>
      </c>
      <c r="G191" s="3">
        <f t="shared" si="2"/>
        <v>0.62609218611875961</v>
      </c>
      <c r="J191" s="3">
        <v>0.2994</v>
      </c>
      <c r="K191" s="3">
        <v>885.31299999999999</v>
      </c>
      <c r="L191" s="3">
        <v>5903389.4400000004</v>
      </c>
      <c r="M191" s="3">
        <v>743.18</v>
      </c>
      <c r="N191" s="3">
        <v>611654</v>
      </c>
      <c r="O191" s="3" t="s">
        <v>26</v>
      </c>
      <c r="P191" s="3">
        <v>34.4236</v>
      </c>
      <c r="Q191" s="3">
        <v>-92.139200000000002</v>
      </c>
      <c r="R191" s="3" t="s">
        <v>59</v>
      </c>
      <c r="S191" s="3" t="s">
        <v>25</v>
      </c>
      <c r="T191" s="3" t="s">
        <v>24</v>
      </c>
      <c r="U191" s="3" t="s">
        <v>23</v>
      </c>
      <c r="V191" s="3" t="s">
        <v>22</v>
      </c>
      <c r="X191" s="3" t="s">
        <v>21</v>
      </c>
      <c r="Y191" s="3" t="s">
        <v>20</v>
      </c>
    </row>
    <row r="192" spans="1:25" x14ac:dyDescent="0.25">
      <c r="A192" s="3" t="s">
        <v>27</v>
      </c>
      <c r="B192" s="3">
        <v>6009</v>
      </c>
      <c r="C192" s="3">
        <v>2</v>
      </c>
      <c r="D192" s="3">
        <v>2009</v>
      </c>
      <c r="E192" s="3">
        <v>11</v>
      </c>
      <c r="F192" s="3">
        <v>1770.1990000000001</v>
      </c>
      <c r="G192" s="3">
        <f t="shared" si="2"/>
        <v>0.63728809605321635</v>
      </c>
      <c r="J192" s="3">
        <v>0.28189999999999998</v>
      </c>
      <c r="K192" s="3">
        <v>780.24099999999999</v>
      </c>
      <c r="L192" s="3">
        <v>5555412.0999999996</v>
      </c>
      <c r="M192" s="3">
        <v>720</v>
      </c>
      <c r="N192" s="3">
        <v>579398</v>
      </c>
      <c r="O192" s="3" t="s">
        <v>26</v>
      </c>
      <c r="P192" s="3">
        <v>34.4236</v>
      </c>
      <c r="Q192" s="3">
        <v>-92.139200000000002</v>
      </c>
      <c r="R192" s="3" t="s">
        <v>59</v>
      </c>
      <c r="S192" s="3" t="s">
        <v>25</v>
      </c>
      <c r="T192" s="3" t="s">
        <v>24</v>
      </c>
      <c r="U192" s="3" t="s">
        <v>23</v>
      </c>
      <c r="V192" s="3" t="s">
        <v>22</v>
      </c>
      <c r="X192" s="3" t="s">
        <v>21</v>
      </c>
      <c r="Y192" s="3" t="s">
        <v>20</v>
      </c>
    </row>
    <row r="193" spans="1:25" x14ac:dyDescent="0.25">
      <c r="A193" s="3" t="s">
        <v>27</v>
      </c>
      <c r="B193" s="3">
        <v>6009</v>
      </c>
      <c r="C193" s="3">
        <v>2</v>
      </c>
      <c r="D193" s="3">
        <v>2009</v>
      </c>
      <c r="E193" s="3">
        <v>12</v>
      </c>
      <c r="F193" s="3">
        <v>1236.6890000000001</v>
      </c>
      <c r="G193" s="3">
        <f t="shared" si="2"/>
        <v>0.58480608063609674</v>
      </c>
      <c r="H193" s="168">
        <f>AVERAGE(G182:G193)</f>
        <v>0.62525538183054974</v>
      </c>
      <c r="I193" s="169">
        <f>MAX(G182:G193)</f>
        <v>0.67875133282587119</v>
      </c>
      <c r="J193" s="3">
        <v>0.2752</v>
      </c>
      <c r="K193" s="3">
        <v>603.346</v>
      </c>
      <c r="L193" s="3">
        <v>4229398.568</v>
      </c>
      <c r="M193" s="3">
        <v>616.39</v>
      </c>
      <c r="N193" s="3">
        <v>439122</v>
      </c>
      <c r="O193" s="3" t="s">
        <v>26</v>
      </c>
      <c r="P193" s="3">
        <v>34.4236</v>
      </c>
      <c r="Q193" s="3">
        <v>-92.139200000000002</v>
      </c>
      <c r="R193" s="3" t="s">
        <v>59</v>
      </c>
      <c r="S193" s="3" t="s">
        <v>25</v>
      </c>
      <c r="T193" s="3" t="s">
        <v>24</v>
      </c>
      <c r="U193" s="3" t="s">
        <v>23</v>
      </c>
      <c r="V193" s="3" t="s">
        <v>22</v>
      </c>
      <c r="X193" s="3" t="s">
        <v>21</v>
      </c>
      <c r="Y193" s="3" t="s">
        <v>20</v>
      </c>
    </row>
    <row r="194" spans="1:25" x14ac:dyDescent="0.25">
      <c r="A194" s="3" t="s">
        <v>27</v>
      </c>
      <c r="B194" s="3">
        <v>6009</v>
      </c>
      <c r="C194" s="3">
        <v>2</v>
      </c>
      <c r="D194" s="3">
        <v>2010</v>
      </c>
      <c r="E194" s="3">
        <v>1</v>
      </c>
      <c r="F194" s="3">
        <v>1427.963</v>
      </c>
      <c r="G194" s="3">
        <f t="shared" ref="G194:G241" si="3">IF(F194="","",(F194*2000)/L194)</f>
        <v>0.54403327855804928</v>
      </c>
      <c r="J194" s="3">
        <v>0.2762</v>
      </c>
      <c r="K194" s="3">
        <v>732.56500000000005</v>
      </c>
      <c r="L194" s="3">
        <v>5249542.8360000001</v>
      </c>
      <c r="M194" s="3">
        <v>713.08</v>
      </c>
      <c r="N194" s="3">
        <v>546835</v>
      </c>
      <c r="O194" s="3" t="s">
        <v>26</v>
      </c>
      <c r="P194" s="3">
        <v>34.4236</v>
      </c>
      <c r="Q194" s="3">
        <v>-92.139200000000002</v>
      </c>
      <c r="R194" s="3" t="s">
        <v>59</v>
      </c>
      <c r="S194" s="3" t="s">
        <v>25</v>
      </c>
      <c r="T194" s="3" t="s">
        <v>24</v>
      </c>
      <c r="U194" s="3" t="s">
        <v>23</v>
      </c>
      <c r="V194" s="3" t="s">
        <v>22</v>
      </c>
      <c r="X194" s="3" t="s">
        <v>21</v>
      </c>
      <c r="Y194" s="3" t="s">
        <v>20</v>
      </c>
    </row>
    <row r="195" spans="1:25" x14ac:dyDescent="0.25">
      <c r="A195" s="3" t="s">
        <v>27</v>
      </c>
      <c r="B195" s="3">
        <v>6009</v>
      </c>
      <c r="C195" s="3">
        <v>2</v>
      </c>
      <c r="D195" s="3">
        <v>2010</v>
      </c>
      <c r="E195" s="3">
        <v>2</v>
      </c>
      <c r="F195" s="3">
        <v>1268.653</v>
      </c>
      <c r="G195" s="3">
        <f t="shared" si="3"/>
        <v>0.50110265825908462</v>
      </c>
      <c r="J195" s="3">
        <v>0.31119999999999998</v>
      </c>
      <c r="K195" s="3">
        <v>787.61</v>
      </c>
      <c r="L195" s="3">
        <v>5063445.5</v>
      </c>
      <c r="M195" s="3">
        <v>672</v>
      </c>
      <c r="N195" s="3">
        <v>535800</v>
      </c>
      <c r="O195" s="3" t="s">
        <v>26</v>
      </c>
      <c r="P195" s="3">
        <v>34.4236</v>
      </c>
      <c r="Q195" s="3">
        <v>-92.139200000000002</v>
      </c>
      <c r="R195" s="3" t="s">
        <v>59</v>
      </c>
      <c r="S195" s="3" t="s">
        <v>25</v>
      </c>
      <c r="T195" s="3" t="s">
        <v>24</v>
      </c>
      <c r="U195" s="3" t="s">
        <v>23</v>
      </c>
      <c r="V195" s="3" t="s">
        <v>22</v>
      </c>
      <c r="X195" s="3" t="s">
        <v>21</v>
      </c>
      <c r="Y195" s="3" t="s">
        <v>20</v>
      </c>
    </row>
    <row r="196" spans="1:25" x14ac:dyDescent="0.25">
      <c r="A196" s="3" t="s">
        <v>27</v>
      </c>
      <c r="B196" s="3">
        <v>6009</v>
      </c>
      <c r="C196" s="3">
        <v>2</v>
      </c>
      <c r="D196" s="3">
        <v>2010</v>
      </c>
      <c r="E196" s="3">
        <v>3</v>
      </c>
      <c r="F196" s="3">
        <v>1362.4670000000001</v>
      </c>
      <c r="G196" s="3">
        <f t="shared" si="3"/>
        <v>0.47067122987574822</v>
      </c>
      <c r="J196" s="3">
        <v>0.34039999999999998</v>
      </c>
      <c r="K196" s="3">
        <v>989.55</v>
      </c>
      <c r="L196" s="3">
        <v>5789463.7000000002</v>
      </c>
      <c r="M196" s="3">
        <v>744</v>
      </c>
      <c r="N196" s="3">
        <v>600338</v>
      </c>
      <c r="O196" s="3" t="s">
        <v>26</v>
      </c>
      <c r="P196" s="3">
        <v>34.4236</v>
      </c>
      <c r="Q196" s="3">
        <v>-92.139200000000002</v>
      </c>
      <c r="R196" s="3" t="s">
        <v>59</v>
      </c>
      <c r="S196" s="3" t="s">
        <v>25</v>
      </c>
      <c r="T196" s="3" t="s">
        <v>24</v>
      </c>
      <c r="U196" s="3" t="s">
        <v>23</v>
      </c>
      <c r="V196" s="3" t="s">
        <v>22</v>
      </c>
      <c r="X196" s="3" t="s">
        <v>21</v>
      </c>
      <c r="Y196" s="3" t="s">
        <v>20</v>
      </c>
    </row>
    <row r="197" spans="1:25" x14ac:dyDescent="0.25">
      <c r="A197" s="3" t="s">
        <v>27</v>
      </c>
      <c r="B197" s="3">
        <v>6009</v>
      </c>
      <c r="C197" s="3">
        <v>2</v>
      </c>
      <c r="D197" s="3">
        <v>2010</v>
      </c>
      <c r="E197" s="3">
        <v>4</v>
      </c>
      <c r="F197" s="3">
        <v>477.87900000000002</v>
      </c>
      <c r="G197" s="3">
        <f t="shared" si="3"/>
        <v>0.5139128740446578</v>
      </c>
      <c r="J197" s="3">
        <v>0.30520000000000003</v>
      </c>
      <c r="K197" s="3">
        <v>301.58499999999998</v>
      </c>
      <c r="L197" s="3">
        <v>1859766.6029999999</v>
      </c>
      <c r="M197" s="3">
        <v>268.32</v>
      </c>
      <c r="N197" s="3">
        <v>192481</v>
      </c>
      <c r="O197" s="3" t="s">
        <v>26</v>
      </c>
      <c r="P197" s="3">
        <v>34.4236</v>
      </c>
      <c r="Q197" s="3">
        <v>-92.139200000000002</v>
      </c>
      <c r="R197" s="3" t="s">
        <v>59</v>
      </c>
      <c r="S197" s="3" t="s">
        <v>25</v>
      </c>
      <c r="T197" s="3" t="s">
        <v>24</v>
      </c>
      <c r="U197" s="3" t="s">
        <v>23</v>
      </c>
      <c r="V197" s="3" t="s">
        <v>22</v>
      </c>
      <c r="X197" s="3" t="s">
        <v>21</v>
      </c>
      <c r="Y197" s="3" t="s">
        <v>20</v>
      </c>
    </row>
    <row r="198" spans="1:25" x14ac:dyDescent="0.25">
      <c r="A198" s="3" t="s">
        <v>27</v>
      </c>
      <c r="B198" s="3">
        <v>6009</v>
      </c>
      <c r="C198" s="3">
        <v>2</v>
      </c>
      <c r="D198" s="3">
        <v>2010</v>
      </c>
      <c r="E198" s="3">
        <v>5</v>
      </c>
      <c r="F198" s="3">
        <v>1336.2260000000001</v>
      </c>
      <c r="G198" s="3">
        <f t="shared" si="3"/>
        <v>0.46052688944609188</v>
      </c>
      <c r="J198" s="3">
        <v>0.34649999999999997</v>
      </c>
      <c r="K198" s="3">
        <v>1007.1130000000001</v>
      </c>
      <c r="L198" s="3">
        <v>5803031.4000000004</v>
      </c>
      <c r="M198" s="3">
        <v>744</v>
      </c>
      <c r="N198" s="3">
        <v>595498</v>
      </c>
      <c r="O198" s="3" t="s">
        <v>26</v>
      </c>
      <c r="P198" s="3">
        <v>34.4236</v>
      </c>
      <c r="Q198" s="3">
        <v>-92.139200000000002</v>
      </c>
      <c r="R198" s="3" t="s">
        <v>59</v>
      </c>
      <c r="S198" s="3" t="s">
        <v>25</v>
      </c>
      <c r="T198" s="3" t="s">
        <v>24</v>
      </c>
      <c r="U198" s="3" t="s">
        <v>23</v>
      </c>
      <c r="V198" s="3" t="s">
        <v>22</v>
      </c>
      <c r="X198" s="3" t="s">
        <v>21</v>
      </c>
      <c r="Y198" s="3" t="s">
        <v>20</v>
      </c>
    </row>
    <row r="199" spans="1:25" x14ac:dyDescent="0.25">
      <c r="A199" s="3" t="s">
        <v>27</v>
      </c>
      <c r="B199" s="3">
        <v>6009</v>
      </c>
      <c r="C199" s="3">
        <v>2</v>
      </c>
      <c r="D199" s="3">
        <v>2010</v>
      </c>
      <c r="E199" s="3">
        <v>6</v>
      </c>
      <c r="F199" s="3">
        <v>1432.3630000000001</v>
      </c>
      <c r="G199" s="3">
        <f t="shared" si="3"/>
        <v>0.48420524389502878</v>
      </c>
      <c r="J199" s="3">
        <v>0.35260000000000002</v>
      </c>
      <c r="K199" s="3">
        <v>1049.932</v>
      </c>
      <c r="L199" s="3">
        <v>5916346.5</v>
      </c>
      <c r="M199" s="3">
        <v>720</v>
      </c>
      <c r="N199" s="3">
        <v>603783</v>
      </c>
      <c r="O199" s="3" t="s">
        <v>26</v>
      </c>
      <c r="P199" s="3">
        <v>34.4236</v>
      </c>
      <c r="Q199" s="3">
        <v>-92.139200000000002</v>
      </c>
      <c r="R199" s="3" t="s">
        <v>59</v>
      </c>
      <c r="S199" s="3" t="s">
        <v>25</v>
      </c>
      <c r="T199" s="3" t="s">
        <v>24</v>
      </c>
      <c r="U199" s="3" t="s">
        <v>23</v>
      </c>
      <c r="V199" s="3" t="s">
        <v>22</v>
      </c>
      <c r="X199" s="3" t="s">
        <v>21</v>
      </c>
      <c r="Y199" s="3" t="s">
        <v>20</v>
      </c>
    </row>
    <row r="200" spans="1:25" x14ac:dyDescent="0.25">
      <c r="A200" s="3" t="s">
        <v>27</v>
      </c>
      <c r="B200" s="3">
        <v>6009</v>
      </c>
      <c r="C200" s="3">
        <v>2</v>
      </c>
      <c r="D200" s="3">
        <v>2010</v>
      </c>
      <c r="E200" s="3">
        <v>7</v>
      </c>
      <c r="F200" s="3">
        <v>1219.2180000000001</v>
      </c>
      <c r="G200" s="3">
        <f t="shared" si="3"/>
        <v>0.50638626723046876</v>
      </c>
      <c r="J200" s="3">
        <v>0.28870000000000001</v>
      </c>
      <c r="K200" s="3">
        <v>719.39099999999996</v>
      </c>
      <c r="L200" s="3">
        <v>4815367.5520000001</v>
      </c>
      <c r="M200" s="3">
        <v>642.14</v>
      </c>
      <c r="N200" s="3">
        <v>495804</v>
      </c>
      <c r="O200" s="3" t="s">
        <v>26</v>
      </c>
      <c r="P200" s="3">
        <v>34.4236</v>
      </c>
      <c r="Q200" s="3">
        <v>-92.139200000000002</v>
      </c>
      <c r="R200" s="3" t="s">
        <v>59</v>
      </c>
      <c r="S200" s="3" t="s">
        <v>25</v>
      </c>
      <c r="T200" s="3" t="s">
        <v>24</v>
      </c>
      <c r="U200" s="3" t="s">
        <v>23</v>
      </c>
      <c r="V200" s="3" t="s">
        <v>22</v>
      </c>
      <c r="X200" s="3" t="s">
        <v>21</v>
      </c>
      <c r="Y200" s="3" t="s">
        <v>20</v>
      </c>
    </row>
    <row r="201" spans="1:25" x14ac:dyDescent="0.25">
      <c r="A201" s="3" t="s">
        <v>27</v>
      </c>
      <c r="B201" s="3">
        <v>6009</v>
      </c>
      <c r="C201" s="3">
        <v>2</v>
      </c>
      <c r="D201" s="3">
        <v>2010</v>
      </c>
      <c r="E201" s="3">
        <v>8</v>
      </c>
      <c r="F201" s="3">
        <v>1313.2560000000001</v>
      </c>
      <c r="G201" s="3">
        <f t="shared" si="3"/>
        <v>0.52923477654728179</v>
      </c>
      <c r="J201" s="3">
        <v>0.27</v>
      </c>
      <c r="K201" s="3">
        <v>701.98299999999995</v>
      </c>
      <c r="L201" s="3">
        <v>4962848.4680000003</v>
      </c>
      <c r="M201" s="3">
        <v>694.43</v>
      </c>
      <c r="N201" s="3">
        <v>511004</v>
      </c>
      <c r="O201" s="3" t="s">
        <v>26</v>
      </c>
      <c r="P201" s="3">
        <v>34.4236</v>
      </c>
      <c r="Q201" s="3">
        <v>-92.139200000000002</v>
      </c>
      <c r="R201" s="3" t="s">
        <v>59</v>
      </c>
      <c r="S201" s="3" t="s">
        <v>25</v>
      </c>
      <c r="T201" s="3" t="s">
        <v>24</v>
      </c>
      <c r="U201" s="3" t="s">
        <v>23</v>
      </c>
      <c r="V201" s="3" t="s">
        <v>22</v>
      </c>
      <c r="X201" s="3" t="s">
        <v>21</v>
      </c>
      <c r="Y201" s="3" t="s">
        <v>20</v>
      </c>
    </row>
    <row r="202" spans="1:25" x14ac:dyDescent="0.25">
      <c r="A202" s="3" t="s">
        <v>27</v>
      </c>
      <c r="B202" s="3">
        <v>6009</v>
      </c>
      <c r="C202" s="3">
        <v>2</v>
      </c>
      <c r="D202" s="3">
        <v>2010</v>
      </c>
      <c r="E202" s="3">
        <v>9</v>
      </c>
      <c r="F202" s="3">
        <v>1550.079</v>
      </c>
      <c r="G202" s="3">
        <f t="shared" si="3"/>
        <v>0.54512257792842245</v>
      </c>
      <c r="J202" s="3">
        <v>0.29470000000000002</v>
      </c>
      <c r="K202" s="3">
        <v>842.23099999999999</v>
      </c>
      <c r="L202" s="3">
        <v>5687084.2000000002</v>
      </c>
      <c r="M202" s="3">
        <v>720</v>
      </c>
      <c r="N202" s="3">
        <v>585294</v>
      </c>
      <c r="O202" s="3" t="s">
        <v>26</v>
      </c>
      <c r="P202" s="3">
        <v>34.4236</v>
      </c>
      <c r="Q202" s="3">
        <v>-92.139200000000002</v>
      </c>
      <c r="R202" s="3" t="s">
        <v>59</v>
      </c>
      <c r="S202" s="3" t="s">
        <v>25</v>
      </c>
      <c r="T202" s="3" t="s">
        <v>24</v>
      </c>
      <c r="U202" s="3" t="s">
        <v>23</v>
      </c>
      <c r="V202" s="3" t="s">
        <v>22</v>
      </c>
      <c r="X202" s="3" t="s">
        <v>21</v>
      </c>
      <c r="Y202" s="3" t="s">
        <v>20</v>
      </c>
    </row>
    <row r="203" spans="1:25" x14ac:dyDescent="0.25">
      <c r="A203" s="3" t="s">
        <v>27</v>
      </c>
      <c r="B203" s="3">
        <v>6009</v>
      </c>
      <c r="C203" s="3">
        <v>2</v>
      </c>
      <c r="D203" s="3">
        <v>2010</v>
      </c>
      <c r="E203" s="3">
        <v>10</v>
      </c>
      <c r="F203" s="3">
        <v>49.938000000000002</v>
      </c>
      <c r="G203" s="3">
        <f t="shared" si="3"/>
        <v>0.57516876938392925</v>
      </c>
      <c r="J203" s="3">
        <v>0.30609999999999998</v>
      </c>
      <c r="K203" s="3">
        <v>26.78</v>
      </c>
      <c r="L203" s="3">
        <v>173646.424</v>
      </c>
      <c r="M203" s="3">
        <v>22.83</v>
      </c>
      <c r="N203" s="3">
        <v>17651</v>
      </c>
      <c r="O203" s="3" t="s">
        <v>26</v>
      </c>
      <c r="P203" s="3">
        <v>34.4236</v>
      </c>
      <c r="Q203" s="3">
        <v>-92.139200000000002</v>
      </c>
      <c r="R203" s="3" t="s">
        <v>59</v>
      </c>
      <c r="S203" s="3" t="s">
        <v>25</v>
      </c>
      <c r="T203" s="3" t="s">
        <v>24</v>
      </c>
      <c r="U203" s="3" t="s">
        <v>23</v>
      </c>
      <c r="V203" s="3" t="s">
        <v>22</v>
      </c>
      <c r="X203" s="3" t="s">
        <v>21</v>
      </c>
      <c r="Y203" s="3" t="s">
        <v>20</v>
      </c>
    </row>
    <row r="204" spans="1:25" x14ac:dyDescent="0.25">
      <c r="A204" s="3" t="s">
        <v>27</v>
      </c>
      <c r="B204" s="3">
        <v>6009</v>
      </c>
      <c r="C204" s="3">
        <v>2</v>
      </c>
      <c r="D204" s="3">
        <v>2010</v>
      </c>
      <c r="E204" s="3">
        <v>11</v>
      </c>
      <c r="G204" s="3" t="str">
        <f t="shared" si="3"/>
        <v/>
      </c>
      <c r="M204" s="3">
        <v>0</v>
      </c>
      <c r="O204" s="3" t="s">
        <v>26</v>
      </c>
      <c r="P204" s="3">
        <v>34.4236</v>
      </c>
      <c r="Q204" s="3">
        <v>-92.139200000000002</v>
      </c>
      <c r="R204" s="3" t="s">
        <v>59</v>
      </c>
      <c r="S204" s="3" t="s">
        <v>25</v>
      </c>
      <c r="T204" s="3" t="s">
        <v>24</v>
      </c>
      <c r="U204" s="3" t="s">
        <v>23</v>
      </c>
      <c r="V204" s="3" t="s">
        <v>22</v>
      </c>
      <c r="X204" s="3" t="s">
        <v>21</v>
      </c>
      <c r="Y204" s="3" t="s">
        <v>20</v>
      </c>
    </row>
    <row r="205" spans="1:25" x14ac:dyDescent="0.25">
      <c r="A205" s="3" t="s">
        <v>27</v>
      </c>
      <c r="B205" s="3">
        <v>6009</v>
      </c>
      <c r="C205" s="3">
        <v>2</v>
      </c>
      <c r="D205" s="3">
        <v>2010</v>
      </c>
      <c r="E205" s="3">
        <v>12</v>
      </c>
      <c r="F205" s="3">
        <v>1090.046</v>
      </c>
      <c r="G205" s="3">
        <f t="shared" si="3"/>
        <v>0.51161095514059018</v>
      </c>
      <c r="H205" s="168">
        <f>AVERAGE(G194:G205)</f>
        <v>0.51290686548266839</v>
      </c>
      <c r="I205" s="168">
        <f>MAX(G194:G205)</f>
        <v>0.57516876938392925</v>
      </c>
      <c r="J205" s="3">
        <v>0.30430000000000001</v>
      </c>
      <c r="K205" s="3">
        <v>721.02300000000002</v>
      </c>
      <c r="L205" s="3">
        <v>4261230.0970000001</v>
      </c>
      <c r="M205" s="3">
        <v>667.41</v>
      </c>
      <c r="N205" s="3">
        <v>445930</v>
      </c>
      <c r="O205" s="3" t="s">
        <v>26</v>
      </c>
      <c r="P205" s="3">
        <v>34.4236</v>
      </c>
      <c r="Q205" s="3">
        <v>-92.139200000000002</v>
      </c>
      <c r="R205" s="3" t="s">
        <v>59</v>
      </c>
      <c r="S205" s="3" t="s">
        <v>25</v>
      </c>
      <c r="T205" s="3" t="s">
        <v>24</v>
      </c>
      <c r="U205" s="3" t="s">
        <v>23</v>
      </c>
      <c r="V205" s="3" t="s">
        <v>22</v>
      </c>
      <c r="X205" s="3" t="s">
        <v>21</v>
      </c>
      <c r="Y205" s="3" t="s">
        <v>20</v>
      </c>
    </row>
    <row r="206" spans="1:25" x14ac:dyDescent="0.25">
      <c r="A206" s="3" t="s">
        <v>27</v>
      </c>
      <c r="B206" s="3">
        <v>6009</v>
      </c>
      <c r="C206" s="3">
        <v>2</v>
      </c>
      <c r="D206" s="3">
        <v>2011</v>
      </c>
      <c r="E206" s="3">
        <v>1</v>
      </c>
      <c r="F206" s="3">
        <v>1487.798</v>
      </c>
      <c r="G206" s="3">
        <f t="shared" si="3"/>
        <v>0.54241931260345488</v>
      </c>
      <c r="J206" s="3">
        <v>0.33110000000000001</v>
      </c>
      <c r="K206" s="3">
        <v>926.38400000000001</v>
      </c>
      <c r="L206" s="3">
        <v>5485785.5</v>
      </c>
      <c r="M206" s="3">
        <v>744</v>
      </c>
      <c r="N206" s="3">
        <v>588318</v>
      </c>
      <c r="O206" s="3" t="s">
        <v>26</v>
      </c>
      <c r="P206" s="3">
        <v>34.4236</v>
      </c>
      <c r="Q206" s="3">
        <v>-92.139200000000002</v>
      </c>
      <c r="R206" s="3" t="s">
        <v>59</v>
      </c>
      <c r="S206" s="3" t="s">
        <v>25</v>
      </c>
      <c r="T206" s="3" t="s">
        <v>24</v>
      </c>
      <c r="U206" s="3" t="s">
        <v>23</v>
      </c>
      <c r="V206" s="3" t="s">
        <v>22</v>
      </c>
      <c r="X206" s="3" t="s">
        <v>21</v>
      </c>
      <c r="Y206" s="3" t="s">
        <v>20</v>
      </c>
    </row>
    <row r="207" spans="1:25" x14ac:dyDescent="0.25">
      <c r="A207" s="3" t="s">
        <v>27</v>
      </c>
      <c r="B207" s="3">
        <v>6009</v>
      </c>
      <c r="C207" s="3">
        <v>2</v>
      </c>
      <c r="D207" s="3">
        <v>2011</v>
      </c>
      <c r="E207" s="3">
        <v>2</v>
      </c>
      <c r="F207" s="3">
        <v>1379.8340000000001</v>
      </c>
      <c r="G207" s="3">
        <f t="shared" si="3"/>
        <v>0.57091016590052357</v>
      </c>
      <c r="J207" s="3">
        <v>0.30830000000000002</v>
      </c>
      <c r="K207" s="3">
        <v>752.71100000000001</v>
      </c>
      <c r="L207" s="3">
        <v>4833804.2740000002</v>
      </c>
      <c r="M207" s="3">
        <v>671.93</v>
      </c>
      <c r="N207" s="3">
        <v>495548</v>
      </c>
      <c r="O207" s="3" t="s">
        <v>26</v>
      </c>
      <c r="P207" s="3">
        <v>34.4236</v>
      </c>
      <c r="Q207" s="3">
        <v>-92.139200000000002</v>
      </c>
      <c r="R207" s="3" t="s">
        <v>59</v>
      </c>
      <c r="S207" s="3" t="s">
        <v>25</v>
      </c>
      <c r="T207" s="3" t="s">
        <v>24</v>
      </c>
      <c r="U207" s="3" t="s">
        <v>23</v>
      </c>
      <c r="V207" s="3" t="s">
        <v>22</v>
      </c>
      <c r="X207" s="3" t="s">
        <v>21</v>
      </c>
      <c r="Y207" s="3" t="s">
        <v>20</v>
      </c>
    </row>
    <row r="208" spans="1:25" x14ac:dyDescent="0.25">
      <c r="A208" s="3" t="s">
        <v>27</v>
      </c>
      <c r="B208" s="3">
        <v>6009</v>
      </c>
      <c r="C208" s="3">
        <v>2</v>
      </c>
      <c r="D208" s="3">
        <v>2011</v>
      </c>
      <c r="E208" s="3">
        <v>3</v>
      </c>
      <c r="F208" s="3">
        <v>1472.3720000000001</v>
      </c>
      <c r="G208" s="3">
        <f t="shared" si="3"/>
        <v>0.61521685108409541</v>
      </c>
      <c r="J208" s="3">
        <v>0.31440000000000001</v>
      </c>
      <c r="K208" s="3">
        <v>754.53</v>
      </c>
      <c r="L208" s="3">
        <v>4786513.8849999998</v>
      </c>
      <c r="M208" s="3">
        <v>597.66999999999996</v>
      </c>
      <c r="N208" s="3">
        <v>474527</v>
      </c>
      <c r="O208" s="3" t="s">
        <v>26</v>
      </c>
      <c r="P208" s="3">
        <v>34.4236</v>
      </c>
      <c r="Q208" s="3">
        <v>-92.139200000000002</v>
      </c>
      <c r="R208" s="3" t="s">
        <v>59</v>
      </c>
      <c r="S208" s="3" t="s">
        <v>25</v>
      </c>
      <c r="T208" s="3" t="s">
        <v>24</v>
      </c>
      <c r="U208" s="3" t="s">
        <v>23</v>
      </c>
      <c r="V208" s="3" t="s">
        <v>22</v>
      </c>
      <c r="X208" s="3" t="s">
        <v>21</v>
      </c>
      <c r="Y208" s="3" t="s">
        <v>20</v>
      </c>
    </row>
    <row r="209" spans="1:25" x14ac:dyDescent="0.25">
      <c r="A209" s="3" t="s">
        <v>27</v>
      </c>
      <c r="B209" s="3">
        <v>6009</v>
      </c>
      <c r="C209" s="3">
        <v>2</v>
      </c>
      <c r="D209" s="3">
        <v>2011</v>
      </c>
      <c r="E209" s="3">
        <v>4</v>
      </c>
      <c r="F209" s="3">
        <v>246.876</v>
      </c>
      <c r="G209" s="3">
        <f t="shared" si="3"/>
        <v>0.51503791225916218</v>
      </c>
      <c r="J209" s="3">
        <v>0.27889999999999998</v>
      </c>
      <c r="K209" s="3">
        <v>150.477</v>
      </c>
      <c r="L209" s="3">
        <v>958671.174</v>
      </c>
      <c r="M209" s="3">
        <v>198.45</v>
      </c>
      <c r="N209" s="3">
        <v>91973</v>
      </c>
      <c r="O209" s="3" t="s">
        <v>26</v>
      </c>
      <c r="P209" s="3">
        <v>34.4236</v>
      </c>
      <c r="Q209" s="3">
        <v>-92.139200000000002</v>
      </c>
      <c r="R209" s="3" t="s">
        <v>59</v>
      </c>
      <c r="S209" s="3" t="s">
        <v>25</v>
      </c>
      <c r="T209" s="3" t="s">
        <v>24</v>
      </c>
      <c r="U209" s="3" t="s">
        <v>23</v>
      </c>
      <c r="V209" s="3" t="s">
        <v>22</v>
      </c>
      <c r="X209" s="3" t="s">
        <v>21</v>
      </c>
      <c r="Y209" s="3" t="s">
        <v>20</v>
      </c>
    </row>
    <row r="210" spans="1:25" x14ac:dyDescent="0.25">
      <c r="A210" s="3" t="s">
        <v>27</v>
      </c>
      <c r="B210" s="3">
        <v>6009</v>
      </c>
      <c r="C210" s="3">
        <v>2</v>
      </c>
      <c r="D210" s="3">
        <v>2011</v>
      </c>
      <c r="E210" s="3">
        <v>5</v>
      </c>
      <c r="F210" s="3">
        <v>1386.9739999999999</v>
      </c>
      <c r="G210" s="3">
        <f t="shared" si="3"/>
        <v>0.58434657530356204</v>
      </c>
      <c r="J210" s="3">
        <v>0.2838</v>
      </c>
      <c r="K210" s="3">
        <v>668.54499999999996</v>
      </c>
      <c r="L210" s="3">
        <v>4747093.7920000004</v>
      </c>
      <c r="M210" s="3">
        <v>743.97</v>
      </c>
      <c r="N210" s="3">
        <v>484023</v>
      </c>
      <c r="O210" s="3" t="s">
        <v>26</v>
      </c>
      <c r="P210" s="3">
        <v>34.4236</v>
      </c>
      <c r="Q210" s="3">
        <v>-92.139200000000002</v>
      </c>
      <c r="R210" s="3" t="s">
        <v>59</v>
      </c>
      <c r="S210" s="3" t="s">
        <v>25</v>
      </c>
      <c r="T210" s="3" t="s">
        <v>24</v>
      </c>
      <c r="U210" s="3" t="s">
        <v>23</v>
      </c>
      <c r="V210" s="3" t="s">
        <v>22</v>
      </c>
      <c r="X210" s="3" t="s">
        <v>21</v>
      </c>
      <c r="Y210" s="3" t="s">
        <v>20</v>
      </c>
    </row>
    <row r="211" spans="1:25" x14ac:dyDescent="0.25">
      <c r="A211" s="3" t="s">
        <v>27</v>
      </c>
      <c r="B211" s="3">
        <v>6009</v>
      </c>
      <c r="C211" s="3">
        <v>2</v>
      </c>
      <c r="D211" s="3">
        <v>2011</v>
      </c>
      <c r="E211" s="3">
        <v>6</v>
      </c>
      <c r="F211" s="3">
        <v>1600.865</v>
      </c>
      <c r="G211" s="3">
        <f t="shared" si="3"/>
        <v>0.59855098067257606</v>
      </c>
      <c r="J211" s="3">
        <v>0.27329999999999999</v>
      </c>
      <c r="K211" s="3">
        <v>741.17499999999995</v>
      </c>
      <c r="L211" s="3">
        <v>5349135</v>
      </c>
      <c r="M211" s="3">
        <v>720</v>
      </c>
      <c r="N211" s="3">
        <v>540111</v>
      </c>
      <c r="O211" s="3" t="s">
        <v>26</v>
      </c>
      <c r="P211" s="3">
        <v>34.4236</v>
      </c>
      <c r="Q211" s="3">
        <v>-92.139200000000002</v>
      </c>
      <c r="R211" s="3" t="s">
        <v>59</v>
      </c>
      <c r="S211" s="3" t="s">
        <v>25</v>
      </c>
      <c r="T211" s="3" t="s">
        <v>24</v>
      </c>
      <c r="U211" s="3" t="s">
        <v>23</v>
      </c>
      <c r="V211" s="3" t="s">
        <v>22</v>
      </c>
      <c r="X211" s="3" t="s">
        <v>21</v>
      </c>
      <c r="Y211" s="3" t="s">
        <v>20</v>
      </c>
    </row>
    <row r="212" spans="1:25" x14ac:dyDescent="0.25">
      <c r="A212" s="3" t="s">
        <v>27</v>
      </c>
      <c r="B212" s="3">
        <v>6009</v>
      </c>
      <c r="C212" s="3">
        <v>2</v>
      </c>
      <c r="D212" s="3">
        <v>2011</v>
      </c>
      <c r="E212" s="3">
        <v>7</v>
      </c>
      <c r="F212" s="3">
        <v>1599.405</v>
      </c>
      <c r="G212" s="3">
        <f t="shared" si="3"/>
        <v>0.54465829682439837</v>
      </c>
      <c r="J212" s="3">
        <v>0.30690000000000001</v>
      </c>
      <c r="K212" s="3">
        <v>916.90800000000002</v>
      </c>
      <c r="L212" s="3">
        <v>5873058.4270000001</v>
      </c>
      <c r="M212" s="3">
        <v>736.1</v>
      </c>
      <c r="N212" s="3">
        <v>584267</v>
      </c>
      <c r="O212" s="3" t="s">
        <v>26</v>
      </c>
      <c r="P212" s="3">
        <v>34.4236</v>
      </c>
      <c r="Q212" s="3">
        <v>-92.139200000000002</v>
      </c>
      <c r="R212" s="3" t="s">
        <v>59</v>
      </c>
      <c r="S212" s="3" t="s">
        <v>25</v>
      </c>
      <c r="T212" s="3" t="s">
        <v>24</v>
      </c>
      <c r="U212" s="3" t="s">
        <v>23</v>
      </c>
      <c r="V212" s="3" t="s">
        <v>22</v>
      </c>
      <c r="X212" s="3" t="s">
        <v>21</v>
      </c>
      <c r="Y212" s="3" t="s">
        <v>20</v>
      </c>
    </row>
    <row r="213" spans="1:25" x14ac:dyDescent="0.25">
      <c r="A213" s="3" t="s">
        <v>27</v>
      </c>
      <c r="B213" s="3">
        <v>6009</v>
      </c>
      <c r="C213" s="3">
        <v>2</v>
      </c>
      <c r="D213" s="3">
        <v>2011</v>
      </c>
      <c r="E213" s="3">
        <v>8</v>
      </c>
      <c r="F213" s="3">
        <v>1742.087</v>
      </c>
      <c r="G213" s="3">
        <f t="shared" si="3"/>
        <v>0.5726734046831119</v>
      </c>
      <c r="J213" s="3">
        <v>0.25900000000000001</v>
      </c>
      <c r="K213" s="3">
        <v>788.69100000000003</v>
      </c>
      <c r="L213" s="3">
        <v>6084050.6500000004</v>
      </c>
      <c r="M213" s="3">
        <v>743.9</v>
      </c>
      <c r="N213" s="3">
        <v>609690</v>
      </c>
      <c r="O213" s="3" t="s">
        <v>26</v>
      </c>
      <c r="P213" s="3">
        <v>34.4236</v>
      </c>
      <c r="Q213" s="3">
        <v>-92.139200000000002</v>
      </c>
      <c r="R213" s="3" t="s">
        <v>59</v>
      </c>
      <c r="S213" s="3" t="s">
        <v>25</v>
      </c>
      <c r="T213" s="3" t="s">
        <v>24</v>
      </c>
      <c r="U213" s="3" t="s">
        <v>23</v>
      </c>
      <c r="V213" s="3" t="s">
        <v>22</v>
      </c>
      <c r="X213" s="3" t="s">
        <v>21</v>
      </c>
      <c r="Y213" s="3" t="s">
        <v>20</v>
      </c>
    </row>
    <row r="214" spans="1:25" x14ac:dyDescent="0.25">
      <c r="A214" s="3" t="s">
        <v>27</v>
      </c>
      <c r="B214" s="3">
        <v>6009</v>
      </c>
      <c r="C214" s="3">
        <v>2</v>
      </c>
      <c r="D214" s="3">
        <v>2011</v>
      </c>
      <c r="E214" s="3">
        <v>9</v>
      </c>
      <c r="F214" s="3">
        <v>1248.1479999999999</v>
      </c>
      <c r="G214" s="3">
        <f t="shared" si="3"/>
        <v>0.51766152630380535</v>
      </c>
      <c r="J214" s="3">
        <v>0.27550000000000002</v>
      </c>
      <c r="K214" s="3">
        <v>678.73299999999995</v>
      </c>
      <c r="L214" s="3">
        <v>4822255.2249999996</v>
      </c>
      <c r="M214" s="3">
        <v>651.9</v>
      </c>
      <c r="N214" s="3">
        <v>485682</v>
      </c>
      <c r="O214" s="3" t="s">
        <v>26</v>
      </c>
      <c r="P214" s="3">
        <v>34.4236</v>
      </c>
      <c r="Q214" s="3">
        <v>-92.139200000000002</v>
      </c>
      <c r="R214" s="3" t="s">
        <v>59</v>
      </c>
      <c r="S214" s="3" t="s">
        <v>25</v>
      </c>
      <c r="T214" s="3" t="s">
        <v>24</v>
      </c>
      <c r="U214" s="3" t="s">
        <v>23</v>
      </c>
      <c r="V214" s="3" t="s">
        <v>22</v>
      </c>
      <c r="X214" s="3" t="s">
        <v>21</v>
      </c>
      <c r="Y214" s="3" t="s">
        <v>20</v>
      </c>
    </row>
    <row r="215" spans="1:25" x14ac:dyDescent="0.25">
      <c r="A215" s="3" t="s">
        <v>27</v>
      </c>
      <c r="B215" s="3">
        <v>6009</v>
      </c>
      <c r="C215" s="3">
        <v>2</v>
      </c>
      <c r="D215" s="3">
        <v>2011</v>
      </c>
      <c r="E215" s="3">
        <v>10</v>
      </c>
      <c r="F215" s="3">
        <v>1724.961</v>
      </c>
      <c r="G215" s="3">
        <f t="shared" si="3"/>
        <v>0.59679093587964349</v>
      </c>
      <c r="J215" s="3">
        <v>0.29670000000000002</v>
      </c>
      <c r="K215" s="3">
        <v>861.28099999999995</v>
      </c>
      <c r="L215" s="3">
        <v>5780788.2000000002</v>
      </c>
      <c r="M215" s="3">
        <v>744</v>
      </c>
      <c r="N215" s="3">
        <v>585757</v>
      </c>
      <c r="O215" s="3" t="s">
        <v>26</v>
      </c>
      <c r="P215" s="3">
        <v>34.4236</v>
      </c>
      <c r="Q215" s="3">
        <v>-92.139200000000002</v>
      </c>
      <c r="R215" s="3" t="s">
        <v>59</v>
      </c>
      <c r="S215" s="3" t="s">
        <v>25</v>
      </c>
      <c r="T215" s="3" t="s">
        <v>24</v>
      </c>
      <c r="U215" s="3" t="s">
        <v>23</v>
      </c>
      <c r="V215" s="3" t="s">
        <v>22</v>
      </c>
      <c r="X215" s="3" t="s">
        <v>21</v>
      </c>
      <c r="Y215" s="3" t="s">
        <v>20</v>
      </c>
    </row>
    <row r="216" spans="1:25" x14ac:dyDescent="0.25">
      <c r="A216" s="3" t="s">
        <v>27</v>
      </c>
      <c r="B216" s="3">
        <v>6009</v>
      </c>
      <c r="C216" s="3">
        <v>2</v>
      </c>
      <c r="D216" s="3">
        <v>2011</v>
      </c>
      <c r="E216" s="3">
        <v>11</v>
      </c>
      <c r="F216" s="3">
        <v>1407.0630000000001</v>
      </c>
      <c r="G216" s="3">
        <f t="shared" si="3"/>
        <v>0.57927335646634281</v>
      </c>
      <c r="J216" s="3">
        <v>0.3</v>
      </c>
      <c r="K216" s="3">
        <v>748.00099999999998</v>
      </c>
      <c r="L216" s="3">
        <v>4858027.68</v>
      </c>
      <c r="M216" s="3">
        <v>690.31</v>
      </c>
      <c r="N216" s="3">
        <v>486549</v>
      </c>
      <c r="O216" s="3" t="s">
        <v>26</v>
      </c>
      <c r="P216" s="3">
        <v>34.4236</v>
      </c>
      <c r="Q216" s="3">
        <v>-92.139200000000002</v>
      </c>
      <c r="R216" s="3" t="s">
        <v>59</v>
      </c>
      <c r="S216" s="3" t="s">
        <v>25</v>
      </c>
      <c r="T216" s="3" t="s">
        <v>24</v>
      </c>
      <c r="U216" s="3" t="s">
        <v>23</v>
      </c>
      <c r="V216" s="3" t="s">
        <v>22</v>
      </c>
      <c r="X216" s="3" t="s">
        <v>21</v>
      </c>
      <c r="Y216" s="3" t="s">
        <v>20</v>
      </c>
    </row>
    <row r="217" spans="1:25" x14ac:dyDescent="0.25">
      <c r="A217" s="3" t="s">
        <v>27</v>
      </c>
      <c r="B217" s="3">
        <v>6009</v>
      </c>
      <c r="C217" s="3">
        <v>2</v>
      </c>
      <c r="D217" s="3">
        <v>2011</v>
      </c>
      <c r="E217" s="3">
        <v>12</v>
      </c>
      <c r="F217" s="3">
        <v>1369.9590000000001</v>
      </c>
      <c r="G217" s="3">
        <f t="shared" si="3"/>
        <v>0.54423293167409892</v>
      </c>
      <c r="H217" s="168">
        <f>AVERAGE(G206:G217)</f>
        <v>0.56514768747123123</v>
      </c>
      <c r="I217" s="168">
        <f>MAX(G206:G217)</f>
        <v>0.61521685108409541</v>
      </c>
      <c r="J217" s="3">
        <v>0.30049999999999999</v>
      </c>
      <c r="K217" s="3">
        <v>755.88300000000004</v>
      </c>
      <c r="L217" s="3">
        <v>5034458.3</v>
      </c>
      <c r="M217" s="3">
        <v>744</v>
      </c>
      <c r="N217" s="3">
        <v>510711</v>
      </c>
      <c r="O217" s="3" t="s">
        <v>26</v>
      </c>
      <c r="P217" s="3">
        <v>34.4236</v>
      </c>
      <c r="Q217" s="3">
        <v>-92.139200000000002</v>
      </c>
      <c r="R217" s="3" t="s">
        <v>59</v>
      </c>
      <c r="S217" s="3" t="s">
        <v>25</v>
      </c>
      <c r="T217" s="3" t="s">
        <v>24</v>
      </c>
      <c r="U217" s="3" t="s">
        <v>23</v>
      </c>
      <c r="V217" s="3" t="s">
        <v>22</v>
      </c>
      <c r="X217" s="3" t="s">
        <v>21</v>
      </c>
      <c r="Y217" s="3" t="s">
        <v>20</v>
      </c>
    </row>
    <row r="218" spans="1:25" x14ac:dyDescent="0.25">
      <c r="A218" s="3" t="s">
        <v>27</v>
      </c>
      <c r="B218" s="3">
        <v>6009</v>
      </c>
      <c r="C218" s="3">
        <v>2</v>
      </c>
      <c r="D218" s="3">
        <v>2012</v>
      </c>
      <c r="E218" s="3">
        <v>1</v>
      </c>
      <c r="F218" s="3">
        <v>1346.491</v>
      </c>
      <c r="G218" s="3">
        <f t="shared" si="3"/>
        <v>0.58317299853999327</v>
      </c>
      <c r="J218" s="3">
        <v>0.28010000000000002</v>
      </c>
      <c r="K218" s="3">
        <v>672.55899999999997</v>
      </c>
      <c r="L218" s="3">
        <v>4617809.8210000005</v>
      </c>
      <c r="M218" s="3">
        <v>699.96</v>
      </c>
      <c r="N218" s="3">
        <v>458738.44</v>
      </c>
      <c r="O218" s="3" t="s">
        <v>26</v>
      </c>
      <c r="P218" s="3">
        <v>34.4236</v>
      </c>
      <c r="Q218" s="3">
        <v>-92.139200000000002</v>
      </c>
      <c r="R218" s="3" t="s">
        <v>59</v>
      </c>
      <c r="S218" s="3" t="s">
        <v>25</v>
      </c>
      <c r="T218" s="3" t="s">
        <v>24</v>
      </c>
      <c r="U218" s="3" t="s">
        <v>23</v>
      </c>
      <c r="V218" s="3" t="s">
        <v>22</v>
      </c>
      <c r="X218" s="3" t="s">
        <v>21</v>
      </c>
      <c r="Y218" s="3" t="s">
        <v>20</v>
      </c>
    </row>
    <row r="219" spans="1:25" x14ac:dyDescent="0.25">
      <c r="A219" s="3" t="s">
        <v>27</v>
      </c>
      <c r="B219" s="3">
        <v>6009</v>
      </c>
      <c r="C219" s="3">
        <v>2</v>
      </c>
      <c r="D219" s="3">
        <v>2012</v>
      </c>
      <c r="E219" s="3">
        <v>2</v>
      </c>
      <c r="F219" s="3">
        <v>1534.8910000000001</v>
      </c>
      <c r="G219" s="3">
        <f t="shared" si="3"/>
        <v>0.60422139039325662</v>
      </c>
      <c r="J219" s="3">
        <v>0.25600000000000001</v>
      </c>
      <c r="K219" s="3">
        <v>650.56600000000003</v>
      </c>
      <c r="L219" s="3">
        <v>5080558.3</v>
      </c>
      <c r="M219" s="3">
        <v>696</v>
      </c>
      <c r="N219" s="3">
        <v>497879</v>
      </c>
      <c r="O219" s="3" t="s">
        <v>26</v>
      </c>
      <c r="P219" s="3">
        <v>34.4236</v>
      </c>
      <c r="Q219" s="3">
        <v>-92.139200000000002</v>
      </c>
      <c r="R219" s="3" t="s">
        <v>59</v>
      </c>
      <c r="S219" s="3" t="s">
        <v>25</v>
      </c>
      <c r="T219" s="3" t="s">
        <v>24</v>
      </c>
      <c r="U219" s="3" t="s">
        <v>23</v>
      </c>
      <c r="V219" s="3" t="s">
        <v>22</v>
      </c>
      <c r="X219" s="3" t="s">
        <v>21</v>
      </c>
      <c r="Y219" s="3" t="s">
        <v>20</v>
      </c>
    </row>
    <row r="220" spans="1:25" x14ac:dyDescent="0.25">
      <c r="A220" s="3" t="s">
        <v>27</v>
      </c>
      <c r="B220" s="3">
        <v>6009</v>
      </c>
      <c r="C220" s="3">
        <v>2</v>
      </c>
      <c r="D220" s="3">
        <v>2012</v>
      </c>
      <c r="E220" s="3">
        <v>3</v>
      </c>
      <c r="F220" s="3">
        <v>728.63199999999995</v>
      </c>
      <c r="G220" s="3">
        <f t="shared" si="3"/>
        <v>0.5916918524260435</v>
      </c>
      <c r="J220" s="3">
        <v>0.253</v>
      </c>
      <c r="K220" s="3">
        <v>315.01400000000001</v>
      </c>
      <c r="L220" s="3">
        <v>2462876.5699999998</v>
      </c>
      <c r="M220" s="3">
        <v>380.63</v>
      </c>
      <c r="N220" s="3">
        <v>225203.96</v>
      </c>
      <c r="O220" s="3" t="s">
        <v>26</v>
      </c>
      <c r="P220" s="3">
        <v>34.4236</v>
      </c>
      <c r="Q220" s="3">
        <v>-92.139200000000002</v>
      </c>
      <c r="R220" s="3" t="s">
        <v>59</v>
      </c>
      <c r="S220" s="3" t="s">
        <v>25</v>
      </c>
      <c r="T220" s="3" t="s">
        <v>24</v>
      </c>
      <c r="U220" s="3" t="s">
        <v>23</v>
      </c>
      <c r="V220" s="3" t="s">
        <v>22</v>
      </c>
      <c r="X220" s="3" t="s">
        <v>21</v>
      </c>
      <c r="Y220" s="3" t="s">
        <v>20</v>
      </c>
    </row>
    <row r="221" spans="1:25" x14ac:dyDescent="0.25">
      <c r="A221" s="3" t="s">
        <v>27</v>
      </c>
      <c r="B221" s="3">
        <v>6009</v>
      </c>
      <c r="C221" s="3">
        <v>2</v>
      </c>
      <c r="D221" s="3">
        <v>2012</v>
      </c>
      <c r="E221" s="3">
        <v>4</v>
      </c>
      <c r="F221" s="3">
        <v>124.721</v>
      </c>
      <c r="G221" s="3">
        <f t="shared" si="3"/>
        <v>0.53693429327449171</v>
      </c>
      <c r="J221" s="3">
        <v>0.1691</v>
      </c>
      <c r="K221" s="3">
        <v>46.545999999999999</v>
      </c>
      <c r="L221" s="3">
        <v>464567.08600000001</v>
      </c>
      <c r="M221" s="3">
        <v>120.34</v>
      </c>
      <c r="N221" s="3">
        <v>38376.699999999997</v>
      </c>
      <c r="O221" s="3" t="s">
        <v>26</v>
      </c>
      <c r="P221" s="3">
        <v>34.4236</v>
      </c>
      <c r="Q221" s="3">
        <v>-92.139200000000002</v>
      </c>
      <c r="R221" s="3" t="s">
        <v>59</v>
      </c>
      <c r="S221" s="3" t="s">
        <v>25</v>
      </c>
      <c r="T221" s="3" t="s">
        <v>24</v>
      </c>
      <c r="U221" s="3" t="s">
        <v>23</v>
      </c>
      <c r="V221" s="3" t="s">
        <v>22</v>
      </c>
      <c r="X221" s="3" t="s">
        <v>21</v>
      </c>
      <c r="Y221" s="3" t="s">
        <v>20</v>
      </c>
    </row>
    <row r="222" spans="1:25" x14ac:dyDescent="0.25">
      <c r="A222" s="3" t="s">
        <v>27</v>
      </c>
      <c r="B222" s="3">
        <v>6009</v>
      </c>
      <c r="C222" s="3">
        <v>2</v>
      </c>
      <c r="D222" s="3">
        <v>2012</v>
      </c>
      <c r="E222" s="3">
        <v>5</v>
      </c>
      <c r="F222" s="3">
        <v>1686.2149999999999</v>
      </c>
      <c r="G222" s="3">
        <f t="shared" si="3"/>
        <v>0.59104370302025133</v>
      </c>
      <c r="J222" s="3">
        <v>0.23899999999999999</v>
      </c>
      <c r="K222" s="3">
        <v>681.02</v>
      </c>
      <c r="L222" s="3">
        <v>5705889.4000000004</v>
      </c>
      <c r="M222" s="3">
        <v>744</v>
      </c>
      <c r="N222" s="3">
        <v>527269</v>
      </c>
      <c r="O222" s="3" t="s">
        <v>26</v>
      </c>
      <c r="P222" s="3">
        <v>34.4236</v>
      </c>
      <c r="Q222" s="3">
        <v>-92.139200000000002</v>
      </c>
      <c r="R222" s="3" t="s">
        <v>59</v>
      </c>
      <c r="S222" s="3" t="s">
        <v>25</v>
      </c>
      <c r="T222" s="3" t="s">
        <v>24</v>
      </c>
      <c r="U222" s="3" t="s">
        <v>23</v>
      </c>
      <c r="V222" s="3" t="s">
        <v>22</v>
      </c>
      <c r="X222" s="3" t="s">
        <v>21</v>
      </c>
      <c r="Y222" s="3" t="s">
        <v>20</v>
      </c>
    </row>
    <row r="223" spans="1:25" x14ac:dyDescent="0.25">
      <c r="A223" s="3" t="s">
        <v>27</v>
      </c>
      <c r="B223" s="3">
        <v>6009</v>
      </c>
      <c r="C223" s="3">
        <v>2</v>
      </c>
      <c r="D223" s="3">
        <v>2012</v>
      </c>
      <c r="E223" s="3">
        <v>6</v>
      </c>
      <c r="F223" s="3">
        <v>1759.433</v>
      </c>
      <c r="G223" s="3">
        <f t="shared" si="3"/>
        <v>0.61356476131482918</v>
      </c>
      <c r="J223" s="3">
        <v>0.26769999999999999</v>
      </c>
      <c r="K223" s="3">
        <v>761.94100000000003</v>
      </c>
      <c r="L223" s="3">
        <v>5735117.5</v>
      </c>
      <c r="M223" s="3">
        <v>720</v>
      </c>
      <c r="N223" s="3">
        <v>530441</v>
      </c>
      <c r="O223" s="3" t="s">
        <v>26</v>
      </c>
      <c r="P223" s="3">
        <v>34.4236</v>
      </c>
      <c r="Q223" s="3">
        <v>-92.139200000000002</v>
      </c>
      <c r="R223" s="3" t="s">
        <v>59</v>
      </c>
      <c r="S223" s="3" t="s">
        <v>25</v>
      </c>
      <c r="T223" s="3" t="s">
        <v>24</v>
      </c>
      <c r="U223" s="3" t="s">
        <v>23</v>
      </c>
      <c r="V223" s="3" t="s">
        <v>22</v>
      </c>
      <c r="X223" s="3" t="s">
        <v>21</v>
      </c>
      <c r="Y223" s="3" t="s">
        <v>20</v>
      </c>
    </row>
    <row r="224" spans="1:25" x14ac:dyDescent="0.25">
      <c r="A224" s="3" t="s">
        <v>27</v>
      </c>
      <c r="B224" s="3">
        <v>6009</v>
      </c>
      <c r="C224" s="3">
        <v>2</v>
      </c>
      <c r="D224" s="3">
        <v>2012</v>
      </c>
      <c r="E224" s="3">
        <v>7</v>
      </c>
      <c r="F224" s="3">
        <v>1424.538</v>
      </c>
      <c r="G224" s="3">
        <f t="shared" si="3"/>
        <v>0.59650560467912561</v>
      </c>
      <c r="J224" s="3">
        <v>0.24429999999999999</v>
      </c>
      <c r="K224" s="3">
        <v>582.08799999999997</v>
      </c>
      <c r="L224" s="3">
        <v>4776277</v>
      </c>
      <c r="M224" s="3">
        <v>744</v>
      </c>
      <c r="N224" s="3">
        <v>422470</v>
      </c>
      <c r="O224" s="3" t="s">
        <v>26</v>
      </c>
      <c r="P224" s="3">
        <v>34.4236</v>
      </c>
      <c r="Q224" s="3">
        <v>-92.139200000000002</v>
      </c>
      <c r="R224" s="3" t="s">
        <v>59</v>
      </c>
      <c r="S224" s="3" t="s">
        <v>25</v>
      </c>
      <c r="T224" s="3" t="s">
        <v>24</v>
      </c>
      <c r="U224" s="3" t="s">
        <v>23</v>
      </c>
      <c r="V224" s="3" t="s">
        <v>22</v>
      </c>
      <c r="X224" s="3" t="s">
        <v>21</v>
      </c>
      <c r="Y224" s="3" t="s">
        <v>20</v>
      </c>
    </row>
    <row r="225" spans="1:25" x14ac:dyDescent="0.25">
      <c r="A225" s="3" t="s">
        <v>27</v>
      </c>
      <c r="B225" s="3">
        <v>6009</v>
      </c>
      <c r="C225" s="3">
        <v>2</v>
      </c>
      <c r="D225" s="3">
        <v>2012</v>
      </c>
      <c r="E225" s="3">
        <v>8</v>
      </c>
      <c r="F225" s="3">
        <v>1655.2619999999999</v>
      </c>
      <c r="G225" s="3">
        <f t="shared" si="3"/>
        <v>0.59354612868648038</v>
      </c>
      <c r="J225" s="3">
        <v>0.2422</v>
      </c>
      <c r="K225" s="3">
        <v>673.46900000000005</v>
      </c>
      <c r="L225" s="3">
        <v>5577534.483</v>
      </c>
      <c r="M225" s="3">
        <v>717.49</v>
      </c>
      <c r="N225" s="3">
        <v>497441.91</v>
      </c>
      <c r="O225" s="3" t="s">
        <v>26</v>
      </c>
      <c r="P225" s="3">
        <v>34.4236</v>
      </c>
      <c r="Q225" s="3">
        <v>-92.139200000000002</v>
      </c>
      <c r="R225" s="3" t="s">
        <v>59</v>
      </c>
      <c r="S225" s="3" t="s">
        <v>25</v>
      </c>
      <c r="T225" s="3" t="s">
        <v>24</v>
      </c>
      <c r="U225" s="3" t="s">
        <v>23</v>
      </c>
      <c r="V225" s="3" t="s">
        <v>22</v>
      </c>
      <c r="X225" s="3" t="s">
        <v>21</v>
      </c>
      <c r="Y225" s="3" t="s">
        <v>20</v>
      </c>
    </row>
    <row r="226" spans="1:25" x14ac:dyDescent="0.25">
      <c r="A226" s="3" t="s">
        <v>27</v>
      </c>
      <c r="B226" s="3">
        <v>6009</v>
      </c>
      <c r="C226" s="3">
        <v>2</v>
      </c>
      <c r="D226" s="3">
        <v>2012</v>
      </c>
      <c r="E226" s="3">
        <v>9</v>
      </c>
      <c r="F226" s="3">
        <v>1684.319</v>
      </c>
      <c r="G226" s="3">
        <f t="shared" si="3"/>
        <v>0.59001503272721167</v>
      </c>
      <c r="J226" s="3">
        <v>0.2361</v>
      </c>
      <c r="K226" s="3">
        <v>684.30499999999995</v>
      </c>
      <c r="L226" s="3">
        <v>5709410.4610000001</v>
      </c>
      <c r="M226" s="3">
        <v>690.66</v>
      </c>
      <c r="N226" s="3">
        <v>512090.95</v>
      </c>
      <c r="O226" s="3" t="s">
        <v>26</v>
      </c>
      <c r="P226" s="3">
        <v>34.4236</v>
      </c>
      <c r="Q226" s="3">
        <v>-92.139200000000002</v>
      </c>
      <c r="R226" s="3" t="s">
        <v>59</v>
      </c>
      <c r="S226" s="3" t="s">
        <v>25</v>
      </c>
      <c r="T226" s="3" t="s">
        <v>24</v>
      </c>
      <c r="U226" s="3" t="s">
        <v>23</v>
      </c>
      <c r="V226" s="3" t="s">
        <v>22</v>
      </c>
      <c r="X226" s="3" t="s">
        <v>21</v>
      </c>
      <c r="Y226" s="3" t="s">
        <v>20</v>
      </c>
    </row>
    <row r="227" spans="1:25" x14ac:dyDescent="0.25">
      <c r="A227" s="3" t="s">
        <v>27</v>
      </c>
      <c r="B227" s="3">
        <v>6009</v>
      </c>
      <c r="C227" s="3">
        <v>2</v>
      </c>
      <c r="D227" s="3">
        <v>2012</v>
      </c>
      <c r="E227" s="3">
        <v>10</v>
      </c>
      <c r="F227" s="3">
        <v>1855.37</v>
      </c>
      <c r="G227" s="3">
        <f t="shared" si="3"/>
        <v>0.58438514280847553</v>
      </c>
      <c r="J227" s="3">
        <v>0.26950000000000002</v>
      </c>
      <c r="K227" s="3">
        <v>851.98500000000001</v>
      </c>
      <c r="L227" s="3">
        <v>6349819.2000000002</v>
      </c>
      <c r="M227" s="3">
        <v>744</v>
      </c>
      <c r="N227" s="3">
        <v>587676</v>
      </c>
      <c r="O227" s="3" t="s">
        <v>26</v>
      </c>
      <c r="P227" s="3">
        <v>34.4236</v>
      </c>
      <c r="Q227" s="3">
        <v>-92.139200000000002</v>
      </c>
      <c r="R227" s="3" t="s">
        <v>59</v>
      </c>
      <c r="S227" s="3" t="s">
        <v>25</v>
      </c>
      <c r="T227" s="3" t="s">
        <v>24</v>
      </c>
      <c r="U227" s="3" t="s">
        <v>23</v>
      </c>
      <c r="V227" s="3" t="s">
        <v>22</v>
      </c>
      <c r="X227" s="3" t="s">
        <v>21</v>
      </c>
      <c r="Y227" s="3" t="s">
        <v>20</v>
      </c>
    </row>
    <row r="228" spans="1:25" x14ac:dyDescent="0.25">
      <c r="A228" s="3" t="s">
        <v>27</v>
      </c>
      <c r="B228" s="3">
        <v>6009</v>
      </c>
      <c r="C228" s="3">
        <v>2</v>
      </c>
      <c r="D228" s="3">
        <v>2012</v>
      </c>
      <c r="E228" s="3">
        <v>11</v>
      </c>
      <c r="F228" s="3">
        <v>1583.3320000000001</v>
      </c>
      <c r="G228" s="3">
        <f t="shared" si="3"/>
        <v>0.5393672845112758</v>
      </c>
      <c r="J228" s="3">
        <v>0.27460000000000001</v>
      </c>
      <c r="K228" s="3">
        <v>803.96</v>
      </c>
      <c r="L228" s="3">
        <v>5871071.7000000002</v>
      </c>
      <c r="M228" s="3">
        <v>720</v>
      </c>
      <c r="N228" s="3">
        <v>547828</v>
      </c>
      <c r="O228" s="3" t="s">
        <v>26</v>
      </c>
      <c r="P228" s="3">
        <v>34.4236</v>
      </c>
      <c r="Q228" s="3">
        <v>-92.139200000000002</v>
      </c>
      <c r="R228" s="3" t="s">
        <v>59</v>
      </c>
      <c r="S228" s="3" t="s">
        <v>25</v>
      </c>
      <c r="T228" s="3" t="s">
        <v>24</v>
      </c>
      <c r="U228" s="3" t="s">
        <v>23</v>
      </c>
      <c r="V228" s="3" t="s">
        <v>22</v>
      </c>
      <c r="X228" s="3" t="s">
        <v>21</v>
      </c>
      <c r="Y228" s="3" t="s">
        <v>20</v>
      </c>
    </row>
    <row r="229" spans="1:25" x14ac:dyDescent="0.25">
      <c r="A229" s="3" t="s">
        <v>27</v>
      </c>
      <c r="B229" s="3">
        <v>6009</v>
      </c>
      <c r="C229" s="3">
        <v>2</v>
      </c>
      <c r="D229" s="3">
        <v>2012</v>
      </c>
      <c r="E229" s="3">
        <v>12</v>
      </c>
      <c r="F229" s="3">
        <v>1072.057</v>
      </c>
      <c r="G229" s="3">
        <f t="shared" si="3"/>
        <v>0.55072214942314224</v>
      </c>
      <c r="H229" s="168">
        <f>AVERAGE(G218:G229)</f>
        <v>0.5812641951503813</v>
      </c>
      <c r="I229" s="168">
        <f>MAX(G218:G229)</f>
        <v>0.61356476131482918</v>
      </c>
      <c r="J229" s="3">
        <v>0.31419999999999998</v>
      </c>
      <c r="K229" s="3">
        <v>621.38</v>
      </c>
      <c r="L229" s="3">
        <v>3893277.2220000001</v>
      </c>
      <c r="M229" s="3">
        <v>619.4</v>
      </c>
      <c r="N229" s="3">
        <v>364913.62</v>
      </c>
      <c r="O229" s="3" t="s">
        <v>26</v>
      </c>
      <c r="P229" s="3">
        <v>34.4236</v>
      </c>
      <c r="Q229" s="3">
        <v>-92.139200000000002</v>
      </c>
      <c r="R229" s="3" t="s">
        <v>59</v>
      </c>
      <c r="S229" s="3" t="s">
        <v>25</v>
      </c>
      <c r="T229" s="3" t="s">
        <v>24</v>
      </c>
      <c r="U229" s="3" t="s">
        <v>23</v>
      </c>
      <c r="V229" s="3" t="s">
        <v>22</v>
      </c>
      <c r="X229" s="3" t="s">
        <v>21</v>
      </c>
      <c r="Y229" s="3" t="s">
        <v>20</v>
      </c>
    </row>
    <row r="230" spans="1:25" x14ac:dyDescent="0.25">
      <c r="A230" s="3" t="s">
        <v>27</v>
      </c>
      <c r="B230" s="3">
        <v>6009</v>
      </c>
      <c r="C230" s="3">
        <v>2</v>
      </c>
      <c r="D230" s="3">
        <v>2013</v>
      </c>
      <c r="E230" s="3">
        <v>1</v>
      </c>
      <c r="F230" s="3">
        <v>1659.6320000000001</v>
      </c>
      <c r="G230" s="3">
        <f t="shared" si="3"/>
        <v>0.58169179989325692</v>
      </c>
      <c r="J230" s="3">
        <v>0.34229999999999999</v>
      </c>
      <c r="K230" s="3">
        <v>981.78099999999995</v>
      </c>
      <c r="L230" s="3">
        <v>5706224.5</v>
      </c>
      <c r="M230" s="3">
        <v>744</v>
      </c>
      <c r="N230" s="3">
        <v>529371</v>
      </c>
      <c r="O230" s="3" t="s">
        <v>26</v>
      </c>
      <c r="P230" s="3">
        <v>34.4236</v>
      </c>
      <c r="Q230" s="3">
        <v>-92.139200000000002</v>
      </c>
      <c r="R230" s="3" t="s">
        <v>59</v>
      </c>
      <c r="S230" s="3" t="s">
        <v>25</v>
      </c>
      <c r="T230" s="3" t="s">
        <v>24</v>
      </c>
      <c r="U230" s="3" t="s">
        <v>23</v>
      </c>
      <c r="V230" s="3" t="s">
        <v>22</v>
      </c>
      <c r="X230" s="3" t="s">
        <v>21</v>
      </c>
      <c r="Y230" s="3" t="s">
        <v>20</v>
      </c>
    </row>
    <row r="231" spans="1:25" x14ac:dyDescent="0.25">
      <c r="A231" s="3" t="s">
        <v>27</v>
      </c>
      <c r="B231" s="3">
        <v>6009</v>
      </c>
      <c r="C231" s="3">
        <v>2</v>
      </c>
      <c r="D231" s="3">
        <v>2013</v>
      </c>
      <c r="E231" s="3">
        <v>2</v>
      </c>
      <c r="F231" s="3">
        <v>395.4</v>
      </c>
      <c r="G231" s="3">
        <f t="shared" si="3"/>
        <v>0.52679712733129824</v>
      </c>
      <c r="J231" s="3">
        <v>0.36649999999999999</v>
      </c>
      <c r="K231" s="3">
        <v>279.762</v>
      </c>
      <c r="L231" s="3">
        <v>1501147.138</v>
      </c>
      <c r="M231" s="3">
        <v>193.42</v>
      </c>
      <c r="N231" s="3">
        <v>137872.92000000001</v>
      </c>
      <c r="O231" s="3" t="s">
        <v>26</v>
      </c>
      <c r="P231" s="3">
        <v>34.4236</v>
      </c>
      <c r="Q231" s="3">
        <v>-92.139200000000002</v>
      </c>
      <c r="R231" s="3" t="s">
        <v>59</v>
      </c>
      <c r="S231" s="3" t="s">
        <v>25</v>
      </c>
      <c r="T231" s="3" t="s">
        <v>24</v>
      </c>
      <c r="U231" s="3" t="s">
        <v>23</v>
      </c>
      <c r="V231" s="3" t="s">
        <v>22</v>
      </c>
      <c r="X231" s="3" t="s">
        <v>21</v>
      </c>
      <c r="Y231" s="3" t="s">
        <v>20</v>
      </c>
    </row>
    <row r="232" spans="1:25" x14ac:dyDescent="0.25">
      <c r="A232" s="3" t="s">
        <v>27</v>
      </c>
      <c r="B232" s="3">
        <v>6009</v>
      </c>
      <c r="C232" s="3">
        <v>2</v>
      </c>
      <c r="D232" s="3">
        <v>2013</v>
      </c>
      <c r="E232" s="3">
        <v>3</v>
      </c>
      <c r="F232" s="3">
        <v>469.29</v>
      </c>
      <c r="G232" s="3">
        <f t="shared" si="3"/>
        <v>0.56942225461789819</v>
      </c>
      <c r="J232" s="3">
        <v>0.26879999999999998</v>
      </c>
      <c r="K232" s="3">
        <v>240.982</v>
      </c>
      <c r="L232" s="3">
        <v>1648302.2790000001</v>
      </c>
      <c r="M232" s="3">
        <v>236.55</v>
      </c>
      <c r="N232" s="3">
        <v>155712.46</v>
      </c>
      <c r="O232" s="3" t="s">
        <v>26</v>
      </c>
      <c r="P232" s="3">
        <v>34.4236</v>
      </c>
      <c r="Q232" s="3">
        <v>-92.139200000000002</v>
      </c>
      <c r="R232" s="3" t="s">
        <v>59</v>
      </c>
      <c r="S232" s="3" t="s">
        <v>25</v>
      </c>
      <c r="T232" s="3" t="s">
        <v>24</v>
      </c>
      <c r="U232" s="3" t="s">
        <v>23</v>
      </c>
      <c r="V232" s="3" t="s">
        <v>22</v>
      </c>
      <c r="X232" s="3" t="s">
        <v>21</v>
      </c>
      <c r="Y232" s="3" t="s">
        <v>20</v>
      </c>
    </row>
    <row r="233" spans="1:25" x14ac:dyDescent="0.25">
      <c r="A233" s="3" t="s">
        <v>27</v>
      </c>
      <c r="B233" s="3">
        <v>6009</v>
      </c>
      <c r="C233" s="3">
        <v>2</v>
      </c>
      <c r="D233" s="3">
        <v>2013</v>
      </c>
      <c r="E233" s="3">
        <v>4</v>
      </c>
      <c r="F233" s="3">
        <v>1647.992</v>
      </c>
      <c r="G233" s="3">
        <f t="shared" si="3"/>
        <v>0.53624689486566646</v>
      </c>
      <c r="J233" s="3">
        <v>0.2949</v>
      </c>
      <c r="K233" s="3">
        <v>911.38400000000001</v>
      </c>
      <c r="L233" s="3">
        <v>6146392.7000000002</v>
      </c>
      <c r="M233" s="3">
        <v>720</v>
      </c>
      <c r="N233" s="3">
        <v>572664</v>
      </c>
      <c r="O233" s="3" t="s">
        <v>26</v>
      </c>
      <c r="P233" s="3">
        <v>34.4236</v>
      </c>
      <c r="Q233" s="3">
        <v>-92.139200000000002</v>
      </c>
      <c r="R233" s="3" t="s">
        <v>59</v>
      </c>
      <c r="S233" s="3" t="s">
        <v>25</v>
      </c>
      <c r="T233" s="3" t="s">
        <v>24</v>
      </c>
      <c r="U233" s="3" t="s">
        <v>23</v>
      </c>
      <c r="V233" s="3" t="s">
        <v>22</v>
      </c>
      <c r="X233" s="3" t="s">
        <v>21</v>
      </c>
      <c r="Y233" s="3" t="s">
        <v>20</v>
      </c>
    </row>
    <row r="234" spans="1:25" x14ac:dyDescent="0.25">
      <c r="A234" s="3" t="s">
        <v>27</v>
      </c>
      <c r="B234" s="3">
        <v>6009</v>
      </c>
      <c r="C234" s="3">
        <v>2</v>
      </c>
      <c r="D234" s="3">
        <v>2013</v>
      </c>
      <c r="E234" s="3">
        <v>5</v>
      </c>
      <c r="F234" s="3">
        <v>1678.165</v>
      </c>
      <c r="G234" s="3">
        <f t="shared" si="3"/>
        <v>0.5452370509916441</v>
      </c>
      <c r="J234" s="3">
        <v>0.30740000000000001</v>
      </c>
      <c r="K234" s="3">
        <v>946.53700000000003</v>
      </c>
      <c r="L234" s="3">
        <v>6155726.2000000002</v>
      </c>
      <c r="M234" s="3">
        <v>744</v>
      </c>
      <c r="N234" s="3">
        <v>563893</v>
      </c>
      <c r="O234" s="3" t="s">
        <v>26</v>
      </c>
      <c r="P234" s="3">
        <v>34.4236</v>
      </c>
      <c r="Q234" s="3">
        <v>-92.139200000000002</v>
      </c>
      <c r="R234" s="3" t="s">
        <v>59</v>
      </c>
      <c r="S234" s="3" t="s">
        <v>25</v>
      </c>
      <c r="T234" s="3" t="s">
        <v>24</v>
      </c>
      <c r="U234" s="3" t="s">
        <v>23</v>
      </c>
      <c r="V234" s="3" t="s">
        <v>22</v>
      </c>
      <c r="X234" s="3" t="s">
        <v>21</v>
      </c>
      <c r="Y234" s="3" t="s">
        <v>20</v>
      </c>
    </row>
    <row r="235" spans="1:25" x14ac:dyDescent="0.25">
      <c r="A235" s="3" t="s">
        <v>27</v>
      </c>
      <c r="B235" s="3">
        <v>6009</v>
      </c>
      <c r="C235" s="3">
        <v>2</v>
      </c>
      <c r="D235" s="3">
        <v>2013</v>
      </c>
      <c r="E235" s="3">
        <v>6</v>
      </c>
      <c r="F235" s="3">
        <v>1519.066</v>
      </c>
      <c r="G235" s="3">
        <f t="shared" si="3"/>
        <v>0.50353237975272569</v>
      </c>
      <c r="J235" s="3">
        <v>0.29099999999999998</v>
      </c>
      <c r="K235" s="3">
        <v>876.08299999999997</v>
      </c>
      <c r="L235" s="3">
        <v>6033637.7999999998</v>
      </c>
      <c r="M235" s="3">
        <v>720</v>
      </c>
      <c r="N235" s="3">
        <v>540366</v>
      </c>
      <c r="O235" s="3" t="s">
        <v>26</v>
      </c>
      <c r="P235" s="3">
        <v>34.4236</v>
      </c>
      <c r="Q235" s="3">
        <v>-92.139200000000002</v>
      </c>
      <c r="R235" s="3" t="s">
        <v>59</v>
      </c>
      <c r="S235" s="3" t="s">
        <v>25</v>
      </c>
      <c r="T235" s="3" t="s">
        <v>24</v>
      </c>
      <c r="U235" s="3" t="s">
        <v>23</v>
      </c>
      <c r="V235" s="3" t="s">
        <v>22</v>
      </c>
      <c r="X235" s="3" t="s">
        <v>21</v>
      </c>
      <c r="Y235" s="3" t="s">
        <v>20</v>
      </c>
    </row>
    <row r="236" spans="1:25" x14ac:dyDescent="0.25">
      <c r="A236" s="3" t="s">
        <v>27</v>
      </c>
      <c r="B236" s="3">
        <v>6009</v>
      </c>
      <c r="C236" s="3">
        <v>2</v>
      </c>
      <c r="D236" s="3">
        <v>2013</v>
      </c>
      <c r="E236" s="3">
        <v>7</v>
      </c>
      <c r="F236" s="3">
        <v>1782.5229999999999</v>
      </c>
      <c r="G236" s="3">
        <f t="shared" si="3"/>
        <v>0.56893895132419037</v>
      </c>
      <c r="J236" s="3">
        <v>0.28000000000000003</v>
      </c>
      <c r="K236" s="3">
        <v>879.07500000000005</v>
      </c>
      <c r="L236" s="3">
        <v>6266131</v>
      </c>
      <c r="M236" s="3">
        <v>744</v>
      </c>
      <c r="N236" s="3">
        <v>558442</v>
      </c>
      <c r="O236" s="3" t="s">
        <v>26</v>
      </c>
      <c r="P236" s="3">
        <v>34.4236</v>
      </c>
      <c r="Q236" s="3">
        <v>-92.139200000000002</v>
      </c>
      <c r="R236" s="3" t="s">
        <v>59</v>
      </c>
      <c r="S236" s="3" t="s">
        <v>25</v>
      </c>
      <c r="T236" s="3" t="s">
        <v>24</v>
      </c>
      <c r="U236" s="3" t="s">
        <v>23</v>
      </c>
      <c r="V236" s="3" t="s">
        <v>22</v>
      </c>
      <c r="X236" s="3" t="s">
        <v>21</v>
      </c>
      <c r="Y236" s="3" t="s">
        <v>20</v>
      </c>
    </row>
    <row r="237" spans="1:25" x14ac:dyDescent="0.25">
      <c r="A237" s="3" t="s">
        <v>27</v>
      </c>
      <c r="B237" s="3">
        <v>6009</v>
      </c>
      <c r="C237" s="3">
        <v>2</v>
      </c>
      <c r="D237" s="3">
        <v>2013</v>
      </c>
      <c r="E237" s="3">
        <v>8</v>
      </c>
      <c r="F237" s="3">
        <v>1778.5709999999999</v>
      </c>
      <c r="G237" s="3">
        <f t="shared" si="3"/>
        <v>0.59738074283681109</v>
      </c>
      <c r="J237" s="3">
        <v>0.2777</v>
      </c>
      <c r="K237" s="3">
        <v>849.10699999999997</v>
      </c>
      <c r="L237" s="3">
        <v>5954564.2249999996</v>
      </c>
      <c r="M237" s="3">
        <v>724.25</v>
      </c>
      <c r="N237" s="3">
        <v>533241.48</v>
      </c>
      <c r="O237" s="3" t="s">
        <v>26</v>
      </c>
      <c r="P237" s="3">
        <v>34.4236</v>
      </c>
      <c r="Q237" s="3">
        <v>-92.139200000000002</v>
      </c>
      <c r="R237" s="3" t="s">
        <v>59</v>
      </c>
      <c r="S237" s="3" t="s">
        <v>25</v>
      </c>
      <c r="T237" s="3" t="s">
        <v>24</v>
      </c>
      <c r="U237" s="3" t="s">
        <v>23</v>
      </c>
      <c r="V237" s="3" t="s">
        <v>22</v>
      </c>
      <c r="X237" s="3" t="s">
        <v>21</v>
      </c>
      <c r="Y237" s="3" t="s">
        <v>20</v>
      </c>
    </row>
    <row r="238" spans="1:25" x14ac:dyDescent="0.25">
      <c r="A238" s="3" t="s">
        <v>27</v>
      </c>
      <c r="B238" s="3">
        <v>6009</v>
      </c>
      <c r="C238" s="3">
        <v>2</v>
      </c>
      <c r="D238" s="3">
        <v>2013</v>
      </c>
      <c r="E238" s="3">
        <v>9</v>
      </c>
      <c r="F238" s="3">
        <v>1409.5550000000001</v>
      </c>
      <c r="G238" s="3">
        <f t="shared" si="3"/>
        <v>0.56766672761338366</v>
      </c>
      <c r="J238" s="3">
        <v>0.25430000000000003</v>
      </c>
      <c r="K238" s="3">
        <v>641.93399999999997</v>
      </c>
      <c r="L238" s="3">
        <v>4966135.6969999997</v>
      </c>
      <c r="M238" s="3">
        <v>640.42999999999995</v>
      </c>
      <c r="N238" s="3">
        <v>447076.6</v>
      </c>
      <c r="O238" s="3" t="s">
        <v>26</v>
      </c>
      <c r="P238" s="3">
        <v>34.4236</v>
      </c>
      <c r="Q238" s="3">
        <v>-92.139200000000002</v>
      </c>
      <c r="R238" s="3" t="s">
        <v>59</v>
      </c>
      <c r="S238" s="3" t="s">
        <v>25</v>
      </c>
      <c r="T238" s="3" t="s">
        <v>24</v>
      </c>
      <c r="U238" s="3" t="s">
        <v>23</v>
      </c>
      <c r="V238" s="3" t="s">
        <v>22</v>
      </c>
      <c r="X238" s="3" t="s">
        <v>21</v>
      </c>
      <c r="Y238" s="3" t="s">
        <v>20</v>
      </c>
    </row>
    <row r="239" spans="1:25" x14ac:dyDescent="0.25">
      <c r="A239" s="3" t="s">
        <v>27</v>
      </c>
      <c r="B239" s="3">
        <v>6009</v>
      </c>
      <c r="C239" s="3">
        <v>2</v>
      </c>
      <c r="D239" s="3">
        <v>2013</v>
      </c>
      <c r="E239" s="3">
        <v>10</v>
      </c>
      <c r="F239" s="3">
        <v>1531.4179999999999</v>
      </c>
      <c r="G239" s="3">
        <f t="shared" si="3"/>
        <v>0.58072634346517771</v>
      </c>
      <c r="J239" s="3">
        <v>0.27650000000000002</v>
      </c>
      <c r="K239" s="3">
        <v>753.29</v>
      </c>
      <c r="L239" s="3">
        <v>5274146.824</v>
      </c>
      <c r="M239" s="3">
        <v>721.85</v>
      </c>
      <c r="N239" s="3">
        <v>484689.13</v>
      </c>
      <c r="O239" s="3" t="s">
        <v>26</v>
      </c>
      <c r="P239" s="3">
        <v>34.4236</v>
      </c>
      <c r="Q239" s="3">
        <v>-92.139200000000002</v>
      </c>
      <c r="R239" s="3" t="s">
        <v>59</v>
      </c>
      <c r="S239" s="3" t="s">
        <v>25</v>
      </c>
      <c r="T239" s="3" t="s">
        <v>24</v>
      </c>
      <c r="U239" s="3" t="s">
        <v>23</v>
      </c>
      <c r="V239" s="3" t="s">
        <v>22</v>
      </c>
      <c r="X239" s="3" t="s">
        <v>21</v>
      </c>
      <c r="Y239" s="3" t="s">
        <v>20</v>
      </c>
    </row>
    <row r="240" spans="1:25" x14ac:dyDescent="0.25">
      <c r="A240" s="3" t="s">
        <v>27</v>
      </c>
      <c r="B240" s="3">
        <v>6009</v>
      </c>
      <c r="C240" s="3">
        <v>2</v>
      </c>
      <c r="D240" s="3">
        <v>2013</v>
      </c>
      <c r="E240" s="3">
        <v>11</v>
      </c>
      <c r="F240" s="3">
        <v>1558.4259999999999</v>
      </c>
      <c r="G240" s="3">
        <f t="shared" si="3"/>
        <v>0.64223992272149577</v>
      </c>
      <c r="J240" s="3">
        <v>0.31890000000000002</v>
      </c>
      <c r="K240" s="3">
        <v>776.86800000000005</v>
      </c>
      <c r="L240" s="3">
        <v>4853096</v>
      </c>
      <c r="M240" s="3">
        <v>720</v>
      </c>
      <c r="N240" s="3">
        <v>450938</v>
      </c>
      <c r="O240" s="3" t="s">
        <v>26</v>
      </c>
      <c r="P240" s="3">
        <v>34.4236</v>
      </c>
      <c r="Q240" s="3">
        <v>-92.139200000000002</v>
      </c>
      <c r="R240" s="3" t="s">
        <v>59</v>
      </c>
      <c r="S240" s="3" t="s">
        <v>25</v>
      </c>
      <c r="T240" s="3" t="s">
        <v>24</v>
      </c>
      <c r="U240" s="3" t="s">
        <v>23</v>
      </c>
      <c r="V240" s="3" t="s">
        <v>22</v>
      </c>
      <c r="X240" s="3" t="s">
        <v>21</v>
      </c>
      <c r="Y240" s="3" t="s">
        <v>20</v>
      </c>
    </row>
    <row r="241" spans="1:25" x14ac:dyDescent="0.25">
      <c r="A241" s="3" t="s">
        <v>27</v>
      </c>
      <c r="B241" s="3">
        <v>6009</v>
      </c>
      <c r="C241" s="3">
        <v>2</v>
      </c>
      <c r="D241" s="3">
        <v>2013</v>
      </c>
      <c r="E241" s="3">
        <v>12</v>
      </c>
      <c r="F241" s="3">
        <v>1539.1489999999999</v>
      </c>
      <c r="G241" s="3">
        <f t="shared" si="3"/>
        <v>0.64236785800013374</v>
      </c>
      <c r="H241" s="168">
        <f>AVERAGE(G230:G241)</f>
        <v>0.5718540044511401</v>
      </c>
      <c r="I241" s="168">
        <f>MAX(G230:G241)</f>
        <v>0.64236785800013374</v>
      </c>
      <c r="J241" s="3">
        <v>0.27279999999999999</v>
      </c>
      <c r="K241" s="3">
        <v>666.12400000000002</v>
      </c>
      <c r="L241" s="3">
        <v>4792110.8779999996</v>
      </c>
      <c r="M241" s="3">
        <v>703.66</v>
      </c>
      <c r="N241" s="3">
        <v>446703.54</v>
      </c>
      <c r="O241" s="3" t="s">
        <v>26</v>
      </c>
      <c r="P241" s="3">
        <v>34.4236</v>
      </c>
      <c r="Q241" s="3">
        <v>-92.139200000000002</v>
      </c>
      <c r="R241" s="3" t="s">
        <v>59</v>
      </c>
      <c r="S241" s="3" t="s">
        <v>25</v>
      </c>
      <c r="T241" s="3" t="s">
        <v>24</v>
      </c>
      <c r="U241" s="3" t="s">
        <v>23</v>
      </c>
      <c r="V241" s="3" t="s">
        <v>22</v>
      </c>
      <c r="X241" s="3" t="s">
        <v>21</v>
      </c>
      <c r="Y241" s="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opLeftCell="A3" zoomScale="80" zoomScaleNormal="80" workbookViewId="0">
      <selection activeCell="C7" sqref="C7"/>
    </sheetView>
  </sheetViews>
  <sheetFormatPr defaultColWidth="12" defaultRowHeight="15.75" x14ac:dyDescent="0.25"/>
  <cols>
    <col min="1" max="1" width="83.85546875" style="6" customWidth="1"/>
    <col min="2" max="16384" width="12" style="3"/>
  </cols>
  <sheetData>
    <row r="1" spans="1:1" s="7" customFormat="1" ht="141.6" customHeight="1" x14ac:dyDescent="0.25">
      <c r="A1" s="6" t="s">
        <v>278</v>
      </c>
    </row>
    <row r="2" spans="1:1" s="7" customFormat="1" x14ac:dyDescent="0.25">
      <c r="A2" s="6"/>
    </row>
    <row r="3" spans="1:1" s="7" customFormat="1" ht="110.25" x14ac:dyDescent="0.25">
      <c r="A3" s="6" t="s">
        <v>19</v>
      </c>
    </row>
    <row r="4" spans="1:1" s="7" customFormat="1" x14ac:dyDescent="0.25">
      <c r="A4" s="6"/>
    </row>
    <row r="5" spans="1:1" s="7" customFormat="1" ht="31.5" x14ac:dyDescent="0.25">
      <c r="A5" s="6" t="s">
        <v>18</v>
      </c>
    </row>
    <row r="7" spans="1:1" ht="31.5" x14ac:dyDescent="0.25">
      <c r="A7" s="6" t="s">
        <v>279</v>
      </c>
    </row>
    <row r="9" spans="1:1" ht="47.25" x14ac:dyDescent="0.25">
      <c r="A9" s="6" t="s">
        <v>325</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opLeftCell="A19" zoomScale="60" zoomScaleNormal="60" workbookViewId="0">
      <selection activeCell="K24" sqref="K24"/>
    </sheetView>
  </sheetViews>
  <sheetFormatPr defaultRowHeight="15" x14ac:dyDescent="0.25"/>
  <cols>
    <col min="1" max="1" width="8.7109375" style="178"/>
    <col min="2" max="2" width="38.42578125" customWidth="1"/>
    <col min="3" max="10" width="11.5703125" style="182" customWidth="1"/>
    <col min="11" max="11" width="38.42578125" customWidth="1"/>
  </cols>
  <sheetData>
    <row r="1" spans="1:11" x14ac:dyDescent="0.25">
      <c r="K1" t="s">
        <v>6</v>
      </c>
    </row>
    <row r="2" spans="1:11" x14ac:dyDescent="0.25">
      <c r="A2" s="179"/>
      <c r="B2" s="230" t="s">
        <v>321</v>
      </c>
      <c r="C2" s="231"/>
      <c r="D2" s="231"/>
      <c r="E2" s="231"/>
      <c r="F2" s="232"/>
    </row>
    <row r="3" spans="1:11" x14ac:dyDescent="0.25">
      <c r="A3" s="179" t="s">
        <v>305</v>
      </c>
      <c r="B3" s="143" t="s">
        <v>306</v>
      </c>
      <c r="C3" s="171" t="s">
        <v>307</v>
      </c>
      <c r="D3" s="171" t="s">
        <v>308</v>
      </c>
      <c r="E3" s="171" t="s">
        <v>309</v>
      </c>
      <c r="F3" s="171" t="s">
        <v>310</v>
      </c>
    </row>
    <row r="4" spans="1:11" x14ac:dyDescent="0.25">
      <c r="A4" s="179">
        <v>106.1</v>
      </c>
      <c r="B4" s="143" t="s">
        <v>311</v>
      </c>
      <c r="C4" s="171">
        <v>0</v>
      </c>
      <c r="D4" s="171">
        <v>195000</v>
      </c>
      <c r="E4" s="171">
        <v>492000</v>
      </c>
      <c r="F4" s="171">
        <v>687000</v>
      </c>
    </row>
    <row r="5" spans="1:11" x14ac:dyDescent="0.25">
      <c r="A5" s="179">
        <v>107.1</v>
      </c>
      <c r="B5" s="143" t="s">
        <v>307</v>
      </c>
      <c r="C5" s="171">
        <v>7012000</v>
      </c>
      <c r="D5" s="171">
        <v>0</v>
      </c>
      <c r="E5" s="171">
        <v>5610000</v>
      </c>
      <c r="F5" s="171">
        <v>12622000</v>
      </c>
    </row>
    <row r="6" spans="1:11" x14ac:dyDescent="0.25">
      <c r="A6" s="179">
        <v>107.2</v>
      </c>
      <c r="B6" s="143" t="s">
        <v>312</v>
      </c>
      <c r="C6" s="171">
        <v>0</v>
      </c>
      <c r="D6" s="171">
        <v>2428000</v>
      </c>
      <c r="E6" s="171">
        <v>5038000</v>
      </c>
      <c r="F6" s="171">
        <v>7520000</v>
      </c>
    </row>
    <row r="7" spans="1:11" x14ac:dyDescent="0.25">
      <c r="A7" s="179">
        <v>107.3</v>
      </c>
      <c r="B7" s="143" t="s">
        <v>313</v>
      </c>
      <c r="C7" s="171">
        <v>0</v>
      </c>
      <c r="D7" s="171">
        <v>200000</v>
      </c>
      <c r="E7" s="171">
        <v>200000</v>
      </c>
      <c r="F7" s="171">
        <v>400000</v>
      </c>
    </row>
    <row r="8" spans="1:11" x14ac:dyDescent="0.25">
      <c r="A8" s="179">
        <v>108</v>
      </c>
      <c r="B8" s="143" t="s">
        <v>314</v>
      </c>
      <c r="C8" s="171">
        <v>3622000</v>
      </c>
      <c r="D8" s="171">
        <v>1600000</v>
      </c>
      <c r="E8" s="171">
        <v>3073000</v>
      </c>
      <c r="F8" s="171">
        <v>8295000</v>
      </c>
    </row>
    <row r="9" spans="1:11" x14ac:dyDescent="0.25">
      <c r="A9" s="179">
        <v>109</v>
      </c>
      <c r="B9" s="143" t="s">
        <v>315</v>
      </c>
      <c r="C9" s="171">
        <v>3622000</v>
      </c>
      <c r="D9" s="171">
        <v>1600000</v>
      </c>
      <c r="E9" s="171">
        <v>3073000</v>
      </c>
      <c r="F9" s="171">
        <v>8295000</v>
      </c>
    </row>
    <row r="10" spans="1:11" x14ac:dyDescent="0.25">
      <c r="A10" s="179">
        <v>111</v>
      </c>
      <c r="B10" s="143" t="s">
        <v>316</v>
      </c>
      <c r="C10" s="171">
        <v>0</v>
      </c>
      <c r="D10" s="171">
        <v>364000</v>
      </c>
      <c r="E10" s="171">
        <v>513000</v>
      </c>
      <c r="F10" s="171">
        <v>877000</v>
      </c>
    </row>
    <row r="11" spans="1:11" x14ac:dyDescent="0.25">
      <c r="A11" s="179">
        <v>111.2</v>
      </c>
      <c r="B11" s="143" t="s">
        <v>317</v>
      </c>
      <c r="C11" s="189">
        <v>0</v>
      </c>
      <c r="D11" s="186">
        <v>0</v>
      </c>
      <c r="E11" s="186">
        <v>0</v>
      </c>
      <c r="F11" s="186">
        <v>0</v>
      </c>
      <c r="K11" t="s">
        <v>332</v>
      </c>
    </row>
    <row r="12" spans="1:11" x14ac:dyDescent="0.25">
      <c r="A12" s="179">
        <v>112</v>
      </c>
      <c r="B12" s="143" t="s">
        <v>318</v>
      </c>
      <c r="C12" s="171">
        <v>0</v>
      </c>
      <c r="D12" s="171">
        <v>364000</v>
      </c>
      <c r="E12" s="171">
        <v>513000</v>
      </c>
      <c r="F12" s="171">
        <v>877000</v>
      </c>
    </row>
    <row r="13" spans="1:11" ht="15.6" customHeight="1" x14ac:dyDescent="0.25">
      <c r="A13" s="179" t="s">
        <v>319</v>
      </c>
      <c r="B13" s="143"/>
      <c r="C13" s="186">
        <f>SUM(C4:C12)</f>
        <v>14256000</v>
      </c>
      <c r="D13" s="186">
        <f>SUM(D4:D12)</f>
        <v>6751000</v>
      </c>
      <c r="E13" s="186">
        <f>SUM(E4:E12)</f>
        <v>18512000</v>
      </c>
      <c r="F13" s="187">
        <f>SUM(F4:F12)</f>
        <v>39573000</v>
      </c>
      <c r="K13" t="s">
        <v>331</v>
      </c>
    </row>
    <row r="14" spans="1:11" ht="15.6" customHeight="1" x14ac:dyDescent="0.25">
      <c r="A14" s="179" t="s">
        <v>320</v>
      </c>
      <c r="B14" s="143"/>
      <c r="C14" s="171">
        <v>45561000</v>
      </c>
      <c r="D14" s="171">
        <v>35120000</v>
      </c>
      <c r="E14" s="171">
        <v>80863000</v>
      </c>
      <c r="F14" s="171"/>
    </row>
    <row r="15" spans="1:11" ht="15.6" customHeight="1" x14ac:dyDescent="0.25">
      <c r="A15" s="236" t="s">
        <v>326</v>
      </c>
      <c r="B15" s="237"/>
      <c r="C15" s="158">
        <f>C13/C14*100</f>
        <v>31.28991900967933</v>
      </c>
      <c r="D15" s="188">
        <f t="shared" ref="D15:E15" si="0">D13/D14*100</f>
        <v>19.222665148063779</v>
      </c>
      <c r="E15" s="188">
        <f t="shared" si="0"/>
        <v>22.893041316795074</v>
      </c>
      <c r="F15" s="171"/>
      <c r="K15" t="s">
        <v>333</v>
      </c>
    </row>
    <row r="16" spans="1:11" ht="15.6" customHeight="1" x14ac:dyDescent="0.25">
      <c r="A16" s="183"/>
      <c r="B16" s="175"/>
      <c r="C16" s="184"/>
      <c r="D16" s="184"/>
      <c r="E16" s="184"/>
      <c r="F16" s="185"/>
    </row>
    <row r="17" spans="1:12" ht="15.6" customHeight="1" x14ac:dyDescent="0.25">
      <c r="A17" s="183"/>
      <c r="B17" s="175"/>
      <c r="C17" s="233" t="s">
        <v>322</v>
      </c>
      <c r="D17" s="231"/>
      <c r="E17" s="231"/>
      <c r="F17" s="231"/>
      <c r="G17" s="231"/>
      <c r="H17" s="231"/>
      <c r="I17" s="231"/>
      <c r="J17" s="232"/>
    </row>
    <row r="18" spans="1:12" x14ac:dyDescent="0.25">
      <c r="C18" s="238" t="s">
        <v>280</v>
      </c>
      <c r="D18" s="231"/>
      <c r="E18" s="231"/>
      <c r="F18" s="232"/>
      <c r="G18" s="238" t="s">
        <v>323</v>
      </c>
      <c r="H18" s="239"/>
      <c r="I18" s="239"/>
      <c r="J18" s="240"/>
    </row>
    <row r="19" spans="1:12" s="177" customFormat="1" ht="60" x14ac:dyDescent="0.25">
      <c r="A19" s="146" t="s">
        <v>281</v>
      </c>
      <c r="B19" s="146" t="s">
        <v>282</v>
      </c>
      <c r="C19" s="147" t="s">
        <v>283</v>
      </c>
      <c r="D19" s="147" t="s">
        <v>284</v>
      </c>
      <c r="E19" s="147" t="s">
        <v>285</v>
      </c>
      <c r="F19" s="147" t="s">
        <v>286</v>
      </c>
      <c r="G19" s="147" t="s">
        <v>287</v>
      </c>
      <c r="H19" s="147" t="s">
        <v>288</v>
      </c>
      <c r="I19" s="147" t="s">
        <v>289</v>
      </c>
      <c r="J19" s="147" t="s">
        <v>290</v>
      </c>
    </row>
    <row r="20" spans="1:12" x14ac:dyDescent="0.25">
      <c r="A20" s="179">
        <v>301</v>
      </c>
      <c r="B20" s="180" t="s">
        <v>291</v>
      </c>
      <c r="C20" s="171"/>
      <c r="D20" s="171"/>
      <c r="E20" s="171"/>
      <c r="F20" s="171" t="str">
        <f>IF(SUM(C20:E20)=0,"",SUM(C20:E20))</f>
        <v/>
      </c>
      <c r="G20" s="171" t="str">
        <f>IF(C20="","",C20*(1-0.3129))</f>
        <v/>
      </c>
      <c r="H20" s="171" t="str">
        <f>IF(D20="","",D20*(1-0.1922))</f>
        <v/>
      </c>
      <c r="I20" s="171" t="str">
        <f>IF(E20="","",E20*(1-0.2289))</f>
        <v/>
      </c>
      <c r="J20" s="171" t="str">
        <f>IF(SUM(G20:I20)=0,"",SUM(G20:I20))</f>
        <v/>
      </c>
    </row>
    <row r="21" spans="1:12" x14ac:dyDescent="0.25">
      <c r="A21" s="179">
        <v>301.2</v>
      </c>
      <c r="B21" s="180" t="s">
        <v>291</v>
      </c>
      <c r="C21" s="171"/>
      <c r="D21" s="171"/>
      <c r="E21" s="171">
        <v>710000</v>
      </c>
      <c r="F21" s="171">
        <f t="shared" ref="F21:F37" si="1">IF(SUM(C21:E21)=0,"",SUM(C21:E21))</f>
        <v>710000</v>
      </c>
      <c r="G21" s="171" t="str">
        <f t="shared" ref="G21:G37" si="2">IF(C21="","",C21*(1-0.3129))</f>
        <v/>
      </c>
      <c r="H21" s="171" t="str">
        <f t="shared" ref="H21:H37" si="3">IF(D21="","",D21*(1-0.1922))</f>
        <v/>
      </c>
      <c r="I21" s="186">
        <f t="shared" ref="I21:I37" si="4">IF(E21="","",E21*(1-0.2289))</f>
        <v>547481</v>
      </c>
      <c r="J21" s="186">
        <f t="shared" ref="J21:J37" si="5">IF(SUM(G21:I21)=0,"",SUM(G21:I21))</f>
        <v>547481</v>
      </c>
    </row>
    <row r="22" spans="1:12" x14ac:dyDescent="0.25">
      <c r="A22" s="179">
        <v>302</v>
      </c>
      <c r="B22" s="180" t="s">
        <v>292</v>
      </c>
      <c r="C22" s="171"/>
      <c r="D22" s="171"/>
      <c r="E22" s="171"/>
      <c r="F22" s="171" t="str">
        <f t="shared" si="1"/>
        <v/>
      </c>
      <c r="G22" s="171" t="str">
        <f t="shared" si="2"/>
        <v/>
      </c>
      <c r="H22" s="171" t="str">
        <f t="shared" si="3"/>
        <v/>
      </c>
      <c r="I22" s="171" t="str">
        <f t="shared" si="4"/>
        <v/>
      </c>
      <c r="J22" s="171" t="str">
        <f t="shared" si="5"/>
        <v/>
      </c>
    </row>
    <row r="23" spans="1:12" x14ac:dyDescent="0.25">
      <c r="A23" s="179">
        <v>302.2</v>
      </c>
      <c r="B23" s="180" t="s">
        <v>292</v>
      </c>
      <c r="C23" s="171"/>
      <c r="D23" s="171"/>
      <c r="E23" s="171">
        <v>10363000</v>
      </c>
      <c r="F23" s="171">
        <f t="shared" si="1"/>
        <v>10363000</v>
      </c>
      <c r="G23" s="171" t="str">
        <f t="shared" si="2"/>
        <v/>
      </c>
      <c r="H23" s="171" t="str">
        <f t="shared" si="3"/>
        <v/>
      </c>
      <c r="I23" s="186">
        <f t="shared" si="4"/>
        <v>7990909.2999999998</v>
      </c>
      <c r="J23" s="186">
        <f t="shared" si="5"/>
        <v>7990909.2999999998</v>
      </c>
    </row>
    <row r="24" spans="1:12" x14ac:dyDescent="0.25">
      <c r="A24" s="179">
        <v>304</v>
      </c>
      <c r="B24" s="180" t="s">
        <v>293</v>
      </c>
      <c r="C24" s="171"/>
      <c r="D24" s="171"/>
      <c r="E24" s="171"/>
      <c r="F24" s="171" t="str">
        <f t="shared" si="1"/>
        <v/>
      </c>
      <c r="G24" s="171" t="str">
        <f t="shared" si="2"/>
        <v/>
      </c>
      <c r="H24" s="171" t="str">
        <f t="shared" si="3"/>
        <v/>
      </c>
      <c r="I24" s="171" t="str">
        <f t="shared" si="4"/>
        <v/>
      </c>
      <c r="J24" s="171" t="str">
        <f t="shared" si="5"/>
        <v/>
      </c>
    </row>
    <row r="25" spans="1:12" x14ac:dyDescent="0.25">
      <c r="A25" s="179">
        <v>304.2</v>
      </c>
      <c r="B25" s="180" t="s">
        <v>293</v>
      </c>
      <c r="C25" s="171"/>
      <c r="D25" s="171"/>
      <c r="E25" s="171">
        <v>10257000</v>
      </c>
      <c r="F25" s="171">
        <f t="shared" si="1"/>
        <v>10257000</v>
      </c>
      <c r="G25" s="171" t="str">
        <f t="shared" si="2"/>
        <v/>
      </c>
      <c r="H25" s="171" t="str">
        <f t="shared" si="3"/>
        <v/>
      </c>
      <c r="I25" s="186">
        <f t="shared" si="4"/>
        <v>7909172.7000000002</v>
      </c>
      <c r="J25" s="186">
        <f t="shared" si="5"/>
        <v>7909172.7000000002</v>
      </c>
    </row>
    <row r="26" spans="1:12" x14ac:dyDescent="0.25">
      <c r="A26" s="179">
        <v>305</v>
      </c>
      <c r="B26" s="180" t="s">
        <v>294</v>
      </c>
      <c r="C26" s="171"/>
      <c r="D26" s="171"/>
      <c r="E26" s="171"/>
      <c r="F26" s="171" t="str">
        <f t="shared" si="1"/>
        <v/>
      </c>
      <c r="G26" s="171" t="str">
        <f t="shared" si="2"/>
        <v/>
      </c>
      <c r="H26" s="171" t="str">
        <f t="shared" si="3"/>
        <v/>
      </c>
      <c r="I26" s="171" t="str">
        <f t="shared" si="4"/>
        <v/>
      </c>
      <c r="J26" s="171" t="str">
        <f t="shared" si="5"/>
        <v/>
      </c>
    </row>
    <row r="27" spans="1:12" x14ac:dyDescent="0.25">
      <c r="A27" s="179">
        <v>305.2</v>
      </c>
      <c r="B27" s="180" t="s">
        <v>294</v>
      </c>
      <c r="C27" s="171">
        <v>476000</v>
      </c>
      <c r="D27" s="171"/>
      <c r="E27" s="171"/>
      <c r="F27" s="171">
        <f t="shared" si="1"/>
        <v>476000</v>
      </c>
      <c r="G27" s="171">
        <f t="shared" si="2"/>
        <v>327059.60000000003</v>
      </c>
      <c r="H27" s="171" t="str">
        <f t="shared" si="3"/>
        <v/>
      </c>
      <c r="I27" s="171" t="str">
        <f t="shared" si="4"/>
        <v/>
      </c>
      <c r="J27" s="189">
        <f t="shared" si="5"/>
        <v>327059.60000000003</v>
      </c>
    </row>
    <row r="28" spans="1:12" x14ac:dyDescent="0.25">
      <c r="A28" s="179">
        <v>306</v>
      </c>
      <c r="B28" s="180" t="s">
        <v>295</v>
      </c>
      <c r="C28" s="171"/>
      <c r="D28" s="171"/>
      <c r="E28" s="171"/>
      <c r="F28" s="171" t="str">
        <f t="shared" si="1"/>
        <v/>
      </c>
      <c r="G28" s="171" t="str">
        <f t="shared" si="2"/>
        <v/>
      </c>
      <c r="H28" s="171" t="str">
        <f t="shared" si="3"/>
        <v/>
      </c>
      <c r="I28" s="171" t="str">
        <f t="shared" si="4"/>
        <v/>
      </c>
      <c r="J28" s="171" t="str">
        <f t="shared" si="5"/>
        <v/>
      </c>
    </row>
    <row r="29" spans="1:12" x14ac:dyDescent="0.25">
      <c r="A29" s="179">
        <v>306.39999999999998</v>
      </c>
      <c r="B29" s="180" t="s">
        <v>295</v>
      </c>
      <c r="C29" s="171"/>
      <c r="D29" s="171">
        <v>1756000</v>
      </c>
      <c r="E29" s="171"/>
      <c r="F29" s="171">
        <f t="shared" si="1"/>
        <v>1756000</v>
      </c>
      <c r="G29" s="171" t="str">
        <f t="shared" si="2"/>
        <v/>
      </c>
      <c r="H29" s="186">
        <f t="shared" si="3"/>
        <v>1418496.8</v>
      </c>
      <c r="I29" s="171" t="str">
        <f t="shared" si="4"/>
        <v/>
      </c>
      <c r="J29" s="186">
        <f t="shared" si="5"/>
        <v>1418496.8</v>
      </c>
    </row>
    <row r="30" spans="1:12" ht="30" x14ac:dyDescent="0.25">
      <c r="A30" s="179">
        <v>307</v>
      </c>
      <c r="B30" s="180" t="s">
        <v>296</v>
      </c>
      <c r="C30" s="171"/>
      <c r="D30" s="171"/>
      <c r="E30" s="171"/>
      <c r="F30" s="171" t="str">
        <f t="shared" si="1"/>
        <v/>
      </c>
      <c r="G30" s="171" t="str">
        <f t="shared" si="2"/>
        <v/>
      </c>
      <c r="H30" s="171" t="str">
        <f t="shared" si="3"/>
        <v/>
      </c>
      <c r="I30" s="171" t="str">
        <f t="shared" si="4"/>
        <v/>
      </c>
      <c r="J30" s="171" t="str">
        <f t="shared" si="5"/>
        <v/>
      </c>
      <c r="L30" t="s">
        <v>297</v>
      </c>
    </row>
    <row r="31" spans="1:12" ht="30" x14ac:dyDescent="0.25">
      <c r="A31" s="179">
        <v>307.5</v>
      </c>
      <c r="B31" s="180" t="s">
        <v>296</v>
      </c>
      <c r="C31" s="171"/>
      <c r="D31" s="171">
        <v>1756000</v>
      </c>
      <c r="E31" s="171">
        <v>3143000</v>
      </c>
      <c r="F31" s="171">
        <f t="shared" si="1"/>
        <v>4899000</v>
      </c>
      <c r="G31" s="171" t="str">
        <f t="shared" si="2"/>
        <v/>
      </c>
      <c r="H31" s="186">
        <f t="shared" si="3"/>
        <v>1418496.8</v>
      </c>
      <c r="I31" s="186">
        <f t="shared" si="4"/>
        <v>2423567.2999999998</v>
      </c>
      <c r="J31" s="186">
        <f t="shared" si="5"/>
        <v>3842064.0999999996</v>
      </c>
    </row>
    <row r="32" spans="1:12" ht="30" x14ac:dyDescent="0.25">
      <c r="A32" s="179">
        <v>307.60000000000002</v>
      </c>
      <c r="B32" s="180" t="s">
        <v>296</v>
      </c>
      <c r="C32" s="171"/>
      <c r="D32" s="171"/>
      <c r="E32" s="171">
        <v>1456000</v>
      </c>
      <c r="F32" s="171">
        <f t="shared" si="1"/>
        <v>1456000</v>
      </c>
      <c r="G32" s="171" t="str">
        <f t="shared" si="2"/>
        <v/>
      </c>
      <c r="H32" s="171" t="str">
        <f t="shared" si="3"/>
        <v/>
      </c>
      <c r="I32" s="186">
        <f t="shared" si="4"/>
        <v>1122721.6000000001</v>
      </c>
      <c r="J32" s="186">
        <f t="shared" si="5"/>
        <v>1122721.6000000001</v>
      </c>
    </row>
    <row r="33" spans="1:11" x14ac:dyDescent="0.25">
      <c r="A33" s="179">
        <v>308</v>
      </c>
      <c r="B33" s="180" t="s">
        <v>298</v>
      </c>
      <c r="C33" s="171"/>
      <c r="D33" s="171"/>
      <c r="E33" s="171"/>
      <c r="F33" s="171" t="str">
        <f t="shared" si="1"/>
        <v/>
      </c>
      <c r="G33" s="171" t="str">
        <f t="shared" si="2"/>
        <v/>
      </c>
      <c r="H33" s="171" t="str">
        <f t="shared" si="3"/>
        <v/>
      </c>
      <c r="I33" s="171" t="str">
        <f t="shared" si="4"/>
        <v/>
      </c>
      <c r="J33" s="171" t="str">
        <f t="shared" si="5"/>
        <v/>
      </c>
    </row>
    <row r="34" spans="1:11" x14ac:dyDescent="0.25">
      <c r="A34" s="179">
        <v>308.5</v>
      </c>
      <c r="B34" s="180" t="s">
        <v>298</v>
      </c>
      <c r="C34" s="171"/>
      <c r="D34" s="171">
        <v>3512000</v>
      </c>
      <c r="E34" s="171">
        <v>6285000</v>
      </c>
      <c r="F34" s="171">
        <f t="shared" si="1"/>
        <v>9797000</v>
      </c>
      <c r="G34" s="171" t="str">
        <f t="shared" si="2"/>
        <v/>
      </c>
      <c r="H34" s="186">
        <f t="shared" si="3"/>
        <v>2836993.6</v>
      </c>
      <c r="I34" s="186">
        <f t="shared" si="4"/>
        <v>4846363.5</v>
      </c>
      <c r="J34" s="186">
        <f t="shared" si="5"/>
        <v>7683357.0999999996</v>
      </c>
    </row>
    <row r="35" spans="1:11" x14ac:dyDescent="0.25">
      <c r="A35" s="179">
        <v>308.60000000000002</v>
      </c>
      <c r="B35" s="180" t="s">
        <v>298</v>
      </c>
      <c r="C35" s="171"/>
      <c r="D35" s="171"/>
      <c r="E35" s="171">
        <v>2913000</v>
      </c>
      <c r="F35" s="171">
        <f t="shared" si="1"/>
        <v>2913000</v>
      </c>
      <c r="G35" s="171" t="str">
        <f t="shared" si="2"/>
        <v/>
      </c>
      <c r="H35" s="171" t="str">
        <f t="shared" si="3"/>
        <v/>
      </c>
      <c r="I35" s="186">
        <f t="shared" si="4"/>
        <v>2246214.2999999998</v>
      </c>
      <c r="J35" s="186">
        <f t="shared" si="5"/>
        <v>2246214.2999999998</v>
      </c>
      <c r="K35" t="s">
        <v>297</v>
      </c>
    </row>
    <row r="36" spans="1:11" x14ac:dyDescent="0.25">
      <c r="A36" s="179">
        <v>360</v>
      </c>
      <c r="B36" s="180" t="s">
        <v>299</v>
      </c>
      <c r="C36" s="171"/>
      <c r="D36" s="171"/>
      <c r="E36" s="171"/>
      <c r="F36" s="171" t="str">
        <f t="shared" si="1"/>
        <v/>
      </c>
      <c r="G36" s="171" t="str">
        <f t="shared" si="2"/>
        <v/>
      </c>
      <c r="H36" s="171" t="str">
        <f t="shared" si="3"/>
        <v/>
      </c>
      <c r="I36" s="171" t="str">
        <f t="shared" si="4"/>
        <v/>
      </c>
      <c r="J36" s="171" t="str">
        <f t="shared" si="5"/>
        <v/>
      </c>
    </row>
    <row r="37" spans="1:11" x14ac:dyDescent="0.25">
      <c r="A37" s="179">
        <v>360.8</v>
      </c>
      <c r="B37" s="180" t="s">
        <v>300</v>
      </c>
      <c r="C37" s="171"/>
      <c r="D37" s="171"/>
      <c r="E37" s="171">
        <v>9855000</v>
      </c>
      <c r="F37" s="171">
        <f t="shared" si="1"/>
        <v>9855000</v>
      </c>
      <c r="G37" s="171" t="str">
        <f t="shared" si="2"/>
        <v/>
      </c>
      <c r="H37" s="171" t="str">
        <f t="shared" si="3"/>
        <v/>
      </c>
      <c r="I37" s="186">
        <f t="shared" si="4"/>
        <v>7599190.5</v>
      </c>
      <c r="J37" s="186">
        <f t="shared" si="5"/>
        <v>7599190.5</v>
      </c>
    </row>
    <row r="38" spans="1:11" x14ac:dyDescent="0.25">
      <c r="B38" s="181" t="s">
        <v>301</v>
      </c>
      <c r="C38" s="241">
        <f>SUM(F20:F37)</f>
        <v>52482000</v>
      </c>
      <c r="D38" s="242"/>
      <c r="E38" s="242"/>
      <c r="F38" s="243"/>
      <c r="G38" s="244">
        <f>SUM(J20:J37)</f>
        <v>40686667</v>
      </c>
      <c r="H38" s="245"/>
      <c r="I38" s="245"/>
      <c r="J38" s="246"/>
    </row>
    <row r="39" spans="1:11" x14ac:dyDescent="0.25">
      <c r="B39" s="181" t="s">
        <v>302</v>
      </c>
      <c r="C39" s="244">
        <f>C38-G38</f>
        <v>11795333</v>
      </c>
      <c r="D39" s="245"/>
      <c r="E39" s="245"/>
      <c r="F39" s="245"/>
      <c r="G39" s="245"/>
      <c r="H39" s="245"/>
      <c r="I39" s="245"/>
      <c r="J39" s="246"/>
    </row>
    <row r="41" spans="1:11" ht="35.1" customHeight="1" x14ac:dyDescent="0.25">
      <c r="A41" s="234" t="s">
        <v>324</v>
      </c>
      <c r="B41" s="235"/>
      <c r="C41" s="235"/>
      <c r="D41" s="235"/>
      <c r="E41" s="235"/>
      <c r="F41" s="235"/>
      <c r="G41" s="235"/>
      <c r="H41" s="235"/>
      <c r="I41" s="235"/>
      <c r="J41" s="235"/>
      <c r="K41" t="s">
        <v>334</v>
      </c>
    </row>
    <row r="43" spans="1:11" x14ac:dyDescent="0.25">
      <c r="B43" s="255" t="s">
        <v>351</v>
      </c>
      <c r="C43" s="255"/>
      <c r="D43" s="255"/>
      <c r="E43" s="255"/>
      <c r="F43" s="255"/>
      <c r="G43" s="255"/>
      <c r="H43" s="255"/>
      <c r="I43" s="255"/>
      <c r="J43" s="255"/>
    </row>
    <row r="45" spans="1:11" x14ac:dyDescent="0.25">
      <c r="A45" s="218"/>
      <c r="B45" s="256" t="s">
        <v>348</v>
      </c>
      <c r="C45" s="257"/>
      <c r="D45" s="257"/>
      <c r="E45" s="257"/>
      <c r="F45" s="258"/>
      <c r="G45" s="219"/>
      <c r="H45" s="219"/>
      <c r="I45" s="219"/>
      <c r="J45" s="219"/>
    </row>
    <row r="46" spans="1:11" x14ac:dyDescent="0.25">
      <c r="A46" s="218" t="s">
        <v>305</v>
      </c>
      <c r="B46" s="150" t="s">
        <v>306</v>
      </c>
      <c r="C46" s="189" t="s">
        <v>307</v>
      </c>
      <c r="D46" s="189" t="s">
        <v>308</v>
      </c>
      <c r="E46" s="189" t="s">
        <v>309</v>
      </c>
      <c r="F46" s="189" t="s">
        <v>310</v>
      </c>
      <c r="G46" s="219"/>
      <c r="H46" s="219"/>
      <c r="I46" s="219"/>
      <c r="J46" s="219"/>
    </row>
    <row r="47" spans="1:11" x14ac:dyDescent="0.25">
      <c r="A47" s="218">
        <v>106.1</v>
      </c>
      <c r="B47" s="150" t="s">
        <v>311</v>
      </c>
      <c r="C47" s="216">
        <v>0</v>
      </c>
      <c r="D47" s="216">
        <v>0</v>
      </c>
      <c r="E47" s="216">
        <v>0</v>
      </c>
      <c r="F47" s="216">
        <v>0</v>
      </c>
      <c r="G47" s="219"/>
      <c r="H47" s="219"/>
      <c r="I47" s="219"/>
      <c r="J47" s="219"/>
    </row>
    <row r="48" spans="1:11" x14ac:dyDescent="0.25">
      <c r="A48" s="218">
        <v>107.1</v>
      </c>
      <c r="B48" s="150" t="s">
        <v>307</v>
      </c>
      <c r="C48" s="216">
        <v>0</v>
      </c>
      <c r="D48" s="216">
        <v>0</v>
      </c>
      <c r="E48" s="216">
        <v>0</v>
      </c>
      <c r="F48" s="216">
        <v>0</v>
      </c>
      <c r="G48" s="219"/>
      <c r="H48" s="219"/>
      <c r="I48" s="219"/>
      <c r="J48" s="219"/>
    </row>
    <row r="49" spans="1:11" x14ac:dyDescent="0.25">
      <c r="A49" s="218">
        <v>107.2</v>
      </c>
      <c r="B49" s="150" t="s">
        <v>312</v>
      </c>
      <c r="C49" s="216">
        <v>0</v>
      </c>
      <c r="D49" s="216">
        <v>0</v>
      </c>
      <c r="E49" s="216">
        <v>0</v>
      </c>
      <c r="F49" s="216">
        <v>0</v>
      </c>
      <c r="G49" s="219"/>
      <c r="H49" s="219"/>
      <c r="I49" s="219"/>
      <c r="J49" s="219"/>
    </row>
    <row r="50" spans="1:11" x14ac:dyDescent="0.25">
      <c r="A50" s="218">
        <v>107.3</v>
      </c>
      <c r="B50" s="150" t="s">
        <v>313</v>
      </c>
      <c r="C50" s="216">
        <v>0</v>
      </c>
      <c r="D50" s="216">
        <v>0</v>
      </c>
      <c r="E50" s="216">
        <v>0</v>
      </c>
      <c r="F50" s="216">
        <v>0</v>
      </c>
      <c r="G50" s="219"/>
      <c r="H50" s="219"/>
      <c r="I50" s="219"/>
      <c r="J50" s="219"/>
    </row>
    <row r="51" spans="1:11" x14ac:dyDescent="0.25">
      <c r="A51" s="218">
        <v>108</v>
      </c>
      <c r="B51" s="150" t="s">
        <v>314</v>
      </c>
      <c r="C51" s="189">
        <v>3622000</v>
      </c>
      <c r="D51" s="189">
        <v>1600000</v>
      </c>
      <c r="E51" s="189">
        <v>3073000</v>
      </c>
      <c r="F51" s="189">
        <v>8295000</v>
      </c>
      <c r="G51" s="219"/>
      <c r="H51" s="219"/>
      <c r="I51" s="219"/>
      <c r="J51" s="219"/>
      <c r="K51" t="s">
        <v>349</v>
      </c>
    </row>
    <row r="52" spans="1:11" x14ac:dyDescent="0.25">
      <c r="A52" s="218">
        <v>109</v>
      </c>
      <c r="B52" s="150" t="s">
        <v>315</v>
      </c>
      <c r="C52" s="189">
        <v>3622000</v>
      </c>
      <c r="D52" s="189">
        <v>1600000</v>
      </c>
      <c r="E52" s="189">
        <v>3073000</v>
      </c>
      <c r="F52" s="189">
        <v>8295000</v>
      </c>
      <c r="G52" s="219"/>
      <c r="H52" s="219"/>
      <c r="I52" s="219"/>
      <c r="J52" s="219"/>
      <c r="K52" t="s">
        <v>349</v>
      </c>
    </row>
    <row r="53" spans="1:11" x14ac:dyDescent="0.25">
      <c r="A53" s="218">
        <v>111</v>
      </c>
      <c r="B53" s="150" t="s">
        <v>316</v>
      </c>
      <c r="C53" s="216">
        <v>0</v>
      </c>
      <c r="D53" s="216">
        <v>0</v>
      </c>
      <c r="E53" s="216">
        <v>0</v>
      </c>
      <c r="F53" s="216">
        <v>0</v>
      </c>
      <c r="G53" s="219"/>
      <c r="H53" s="219"/>
      <c r="I53" s="219"/>
      <c r="J53" s="219"/>
    </row>
    <row r="54" spans="1:11" x14ac:dyDescent="0.25">
      <c r="A54" s="218">
        <v>111.2</v>
      </c>
      <c r="B54" s="150" t="s">
        <v>317</v>
      </c>
      <c r="C54" s="216">
        <v>0</v>
      </c>
      <c r="D54" s="216">
        <v>0</v>
      </c>
      <c r="E54" s="216">
        <v>0</v>
      </c>
      <c r="F54" s="216">
        <v>0</v>
      </c>
      <c r="G54" s="219"/>
      <c r="H54" s="219"/>
      <c r="I54" s="219"/>
      <c r="J54" s="219"/>
    </row>
    <row r="55" spans="1:11" x14ac:dyDescent="0.25">
      <c r="A55" s="218">
        <v>112</v>
      </c>
      <c r="B55" s="150" t="s">
        <v>318</v>
      </c>
      <c r="C55" s="216">
        <v>0</v>
      </c>
      <c r="D55" s="216">
        <v>0</v>
      </c>
      <c r="E55" s="216">
        <v>0</v>
      </c>
      <c r="F55" s="216">
        <v>0</v>
      </c>
      <c r="G55" s="219"/>
      <c r="H55" s="219"/>
      <c r="I55" s="219"/>
      <c r="J55" s="219"/>
    </row>
    <row r="56" spans="1:11" x14ac:dyDescent="0.25">
      <c r="A56" s="218" t="s">
        <v>319</v>
      </c>
      <c r="B56" s="150"/>
      <c r="C56" s="216">
        <f>SUM(C47:C55)</f>
        <v>7244000</v>
      </c>
      <c r="D56" s="216">
        <f>SUM(D47:D55)</f>
        <v>3200000</v>
      </c>
      <c r="E56" s="216">
        <f>SUM(E47:E55)</f>
        <v>6146000</v>
      </c>
      <c r="F56" s="224">
        <f>SUM(F47:F55)</f>
        <v>16590000</v>
      </c>
      <c r="G56" s="219"/>
      <c r="H56" s="219"/>
      <c r="I56" s="219"/>
      <c r="J56" s="219"/>
    </row>
    <row r="57" spans="1:11" x14ac:dyDescent="0.25">
      <c r="A57" s="218" t="s">
        <v>320</v>
      </c>
      <c r="B57" s="150"/>
      <c r="C57" s="189">
        <v>45561000</v>
      </c>
      <c r="D57" s="189">
        <v>35120000</v>
      </c>
      <c r="E57" s="189">
        <v>80863000</v>
      </c>
      <c r="F57" s="189"/>
      <c r="G57" s="219"/>
      <c r="H57" s="219"/>
      <c r="I57" s="219"/>
      <c r="J57" s="219"/>
    </row>
    <row r="58" spans="1:11" x14ac:dyDescent="0.25">
      <c r="A58" s="259" t="s">
        <v>326</v>
      </c>
      <c r="B58" s="260"/>
      <c r="C58" s="217">
        <f>C56/C57*100</f>
        <v>15.899563222931892</v>
      </c>
      <c r="D58" s="217">
        <f t="shared" ref="D58:E58" si="6">D56/D57*100</f>
        <v>9.1116173120728927</v>
      </c>
      <c r="E58" s="217">
        <f t="shared" si="6"/>
        <v>7.600509503728528</v>
      </c>
      <c r="F58" s="189"/>
      <c r="G58" s="219"/>
      <c r="H58" s="219"/>
      <c r="I58" s="219"/>
      <c r="J58" s="219"/>
      <c r="K58" t="s">
        <v>350</v>
      </c>
    </row>
    <row r="59" spans="1:11" x14ac:dyDescent="0.25">
      <c r="A59" s="220"/>
      <c r="B59" s="213"/>
      <c r="C59" s="221"/>
      <c r="D59" s="221"/>
      <c r="E59" s="221"/>
      <c r="F59" s="222"/>
      <c r="G59" s="219"/>
      <c r="H59" s="219"/>
      <c r="I59" s="219"/>
      <c r="J59" s="219"/>
    </row>
    <row r="60" spans="1:11" x14ac:dyDescent="0.25">
      <c r="A60" s="220"/>
      <c r="B60" s="213"/>
      <c r="C60" s="261" t="s">
        <v>322</v>
      </c>
      <c r="D60" s="257"/>
      <c r="E60" s="257"/>
      <c r="F60" s="257"/>
      <c r="G60" s="257"/>
      <c r="H60" s="257"/>
      <c r="I60" s="257"/>
      <c r="J60" s="258"/>
    </row>
    <row r="61" spans="1:11" x14ac:dyDescent="0.25">
      <c r="A61" s="223"/>
      <c r="B61" s="197"/>
      <c r="C61" s="262" t="s">
        <v>280</v>
      </c>
      <c r="D61" s="257"/>
      <c r="E61" s="257"/>
      <c r="F61" s="258"/>
      <c r="G61" s="262" t="s">
        <v>323</v>
      </c>
      <c r="H61" s="263"/>
      <c r="I61" s="263"/>
      <c r="J61" s="264"/>
    </row>
    <row r="62" spans="1:11" ht="60" x14ac:dyDescent="0.25">
      <c r="A62" s="191" t="s">
        <v>281</v>
      </c>
      <c r="B62" s="191" t="s">
        <v>282</v>
      </c>
      <c r="C62" s="192" t="s">
        <v>283</v>
      </c>
      <c r="D62" s="192" t="s">
        <v>284</v>
      </c>
      <c r="E62" s="192" t="s">
        <v>285</v>
      </c>
      <c r="F62" s="192" t="s">
        <v>286</v>
      </c>
      <c r="G62" s="192" t="s">
        <v>287</v>
      </c>
      <c r="H62" s="192" t="s">
        <v>288</v>
      </c>
      <c r="I62" s="192" t="s">
        <v>289</v>
      </c>
      <c r="J62" s="192" t="s">
        <v>290</v>
      </c>
    </row>
    <row r="63" spans="1:11" x14ac:dyDescent="0.25">
      <c r="A63" s="218">
        <v>301</v>
      </c>
      <c r="B63" s="181" t="s">
        <v>291</v>
      </c>
      <c r="C63" s="189"/>
      <c r="D63" s="189"/>
      <c r="E63" s="189"/>
      <c r="F63" s="189" t="str">
        <f>IF(SUM(C63:E63)=0,"",SUM(C63:E63))</f>
        <v/>
      </c>
      <c r="G63" s="189" t="str">
        <f>IF(C63="","",C63*(1-0.159))</f>
        <v/>
      </c>
      <c r="H63" s="189" t="str">
        <f>IF(D63="","",D63*(1-0.0911))</f>
        <v/>
      </c>
      <c r="I63" s="189" t="str">
        <f>IF(E63="","",E63*(1-0.076))</f>
        <v/>
      </c>
      <c r="J63" s="189" t="str">
        <f>IF(SUM(G63:I63)=0,"",SUM(G63:I63))</f>
        <v/>
      </c>
    </row>
    <row r="64" spans="1:11" x14ac:dyDescent="0.25">
      <c r="A64" s="218">
        <v>301.2</v>
      </c>
      <c r="B64" s="181" t="s">
        <v>291</v>
      </c>
      <c r="C64" s="189"/>
      <c r="D64" s="189"/>
      <c r="E64" s="189">
        <v>710000</v>
      </c>
      <c r="F64" s="189">
        <f t="shared" ref="F64:F80" si="7">IF(SUM(C64:E64)=0,"",SUM(C64:E64))</f>
        <v>710000</v>
      </c>
      <c r="G64" s="189" t="str">
        <f t="shared" ref="G64:G80" si="8">IF(C64="","",C64*(1-0.159))</f>
        <v/>
      </c>
      <c r="H64" s="189" t="str">
        <f t="shared" ref="H64:H80" si="9">IF(D64="","",D64*(1-0.0911))</f>
        <v/>
      </c>
      <c r="I64" s="216">
        <f t="shared" ref="I64:I80" si="10">IF(E64="","",E64*(1-0.076))</f>
        <v>656040</v>
      </c>
      <c r="J64" s="216">
        <f t="shared" ref="J64:J80" si="11">IF(SUM(G64:I64)=0,"",SUM(G64:I64))</f>
        <v>656040</v>
      </c>
    </row>
    <row r="65" spans="1:10" x14ac:dyDescent="0.25">
      <c r="A65" s="218">
        <v>302</v>
      </c>
      <c r="B65" s="181" t="s">
        <v>292</v>
      </c>
      <c r="C65" s="189"/>
      <c r="D65" s="189"/>
      <c r="E65" s="189"/>
      <c r="F65" s="189" t="str">
        <f t="shared" si="7"/>
        <v/>
      </c>
      <c r="G65" s="189" t="str">
        <f t="shared" si="8"/>
        <v/>
      </c>
      <c r="H65" s="189" t="str">
        <f t="shared" si="9"/>
        <v/>
      </c>
      <c r="I65" s="189" t="str">
        <f t="shared" si="10"/>
        <v/>
      </c>
      <c r="J65" s="189" t="str">
        <f t="shared" si="11"/>
        <v/>
      </c>
    </row>
    <row r="66" spans="1:10" x14ac:dyDescent="0.25">
      <c r="A66" s="218">
        <v>302.2</v>
      </c>
      <c r="B66" s="181" t="s">
        <v>292</v>
      </c>
      <c r="C66" s="189"/>
      <c r="D66" s="189"/>
      <c r="E66" s="189">
        <v>10363000</v>
      </c>
      <c r="F66" s="189">
        <f t="shared" si="7"/>
        <v>10363000</v>
      </c>
      <c r="G66" s="189" t="str">
        <f t="shared" si="8"/>
        <v/>
      </c>
      <c r="H66" s="189" t="str">
        <f t="shared" si="9"/>
        <v/>
      </c>
      <c r="I66" s="216">
        <f t="shared" si="10"/>
        <v>9575412</v>
      </c>
      <c r="J66" s="216">
        <f t="shared" si="11"/>
        <v>9575412</v>
      </c>
    </row>
    <row r="67" spans="1:10" x14ac:dyDescent="0.25">
      <c r="A67" s="218">
        <v>304</v>
      </c>
      <c r="B67" s="181" t="s">
        <v>293</v>
      </c>
      <c r="C67" s="189"/>
      <c r="D67" s="189"/>
      <c r="E67" s="189"/>
      <c r="F67" s="189" t="str">
        <f t="shared" si="7"/>
        <v/>
      </c>
      <c r="G67" s="189" t="str">
        <f t="shared" si="8"/>
        <v/>
      </c>
      <c r="H67" s="189" t="str">
        <f t="shared" si="9"/>
        <v/>
      </c>
      <c r="I67" s="189" t="str">
        <f t="shared" si="10"/>
        <v/>
      </c>
      <c r="J67" s="189" t="str">
        <f t="shared" si="11"/>
        <v/>
      </c>
    </row>
    <row r="68" spans="1:10" x14ac:dyDescent="0.25">
      <c r="A68" s="218">
        <v>304.2</v>
      </c>
      <c r="B68" s="181" t="s">
        <v>293</v>
      </c>
      <c r="C68" s="189"/>
      <c r="D68" s="189"/>
      <c r="E68" s="189">
        <v>10257000</v>
      </c>
      <c r="F68" s="189">
        <f t="shared" si="7"/>
        <v>10257000</v>
      </c>
      <c r="G68" s="189" t="str">
        <f t="shared" si="8"/>
        <v/>
      </c>
      <c r="H68" s="189" t="str">
        <f t="shared" si="9"/>
        <v/>
      </c>
      <c r="I68" s="216">
        <f t="shared" si="10"/>
        <v>9477468</v>
      </c>
      <c r="J68" s="216">
        <f t="shared" si="11"/>
        <v>9477468</v>
      </c>
    </row>
    <row r="69" spans="1:10" x14ac:dyDescent="0.25">
      <c r="A69" s="218">
        <v>305</v>
      </c>
      <c r="B69" s="181" t="s">
        <v>294</v>
      </c>
      <c r="C69" s="189"/>
      <c r="D69" s="189"/>
      <c r="E69" s="189"/>
      <c r="F69" s="189" t="str">
        <f t="shared" si="7"/>
        <v/>
      </c>
      <c r="G69" s="189" t="str">
        <f t="shared" si="8"/>
        <v/>
      </c>
      <c r="H69" s="189" t="str">
        <f t="shared" si="9"/>
        <v/>
      </c>
      <c r="I69" s="189" t="str">
        <f t="shared" si="10"/>
        <v/>
      </c>
      <c r="J69" s="189" t="str">
        <f t="shared" si="11"/>
        <v/>
      </c>
    </row>
    <row r="70" spans="1:10" x14ac:dyDescent="0.25">
      <c r="A70" s="218">
        <v>305.2</v>
      </c>
      <c r="B70" s="181" t="s">
        <v>294</v>
      </c>
      <c r="C70" s="189">
        <v>476000</v>
      </c>
      <c r="D70" s="189"/>
      <c r="E70" s="189"/>
      <c r="F70" s="189">
        <f t="shared" si="7"/>
        <v>476000</v>
      </c>
      <c r="G70" s="216">
        <f t="shared" si="8"/>
        <v>400316</v>
      </c>
      <c r="H70" s="189" t="str">
        <f t="shared" si="9"/>
        <v/>
      </c>
      <c r="I70" s="189" t="str">
        <f t="shared" si="10"/>
        <v/>
      </c>
      <c r="J70" s="216">
        <f t="shared" si="11"/>
        <v>400316</v>
      </c>
    </row>
    <row r="71" spans="1:10" x14ac:dyDescent="0.25">
      <c r="A71" s="218">
        <v>306</v>
      </c>
      <c r="B71" s="181" t="s">
        <v>295</v>
      </c>
      <c r="C71" s="189"/>
      <c r="D71" s="189"/>
      <c r="E71" s="189"/>
      <c r="F71" s="189" t="str">
        <f t="shared" si="7"/>
        <v/>
      </c>
      <c r="G71" s="189" t="str">
        <f t="shared" si="8"/>
        <v/>
      </c>
      <c r="H71" s="189" t="str">
        <f t="shared" si="9"/>
        <v/>
      </c>
      <c r="I71" s="189" t="str">
        <f t="shared" si="10"/>
        <v/>
      </c>
      <c r="J71" s="189" t="str">
        <f t="shared" si="11"/>
        <v/>
      </c>
    </row>
    <row r="72" spans="1:10" x14ac:dyDescent="0.25">
      <c r="A72" s="218">
        <v>306.39999999999998</v>
      </c>
      <c r="B72" s="181" t="s">
        <v>295</v>
      </c>
      <c r="C72" s="189"/>
      <c r="D72" s="189">
        <v>1756000</v>
      </c>
      <c r="E72" s="189"/>
      <c r="F72" s="189">
        <f t="shared" si="7"/>
        <v>1756000</v>
      </c>
      <c r="G72" s="189" t="str">
        <f t="shared" si="8"/>
        <v/>
      </c>
      <c r="H72" s="216">
        <f t="shared" si="9"/>
        <v>1596028.4000000001</v>
      </c>
      <c r="I72" s="189" t="str">
        <f t="shared" si="10"/>
        <v/>
      </c>
      <c r="J72" s="216">
        <f t="shared" si="11"/>
        <v>1596028.4000000001</v>
      </c>
    </row>
    <row r="73" spans="1:10" ht="30" x14ac:dyDescent="0.25">
      <c r="A73" s="218">
        <v>307</v>
      </c>
      <c r="B73" s="181" t="s">
        <v>296</v>
      </c>
      <c r="C73" s="189"/>
      <c r="D73" s="189"/>
      <c r="E73" s="189"/>
      <c r="F73" s="189" t="str">
        <f t="shared" si="7"/>
        <v/>
      </c>
      <c r="G73" s="189" t="str">
        <f t="shared" si="8"/>
        <v/>
      </c>
      <c r="H73" s="189" t="str">
        <f t="shared" si="9"/>
        <v/>
      </c>
      <c r="I73" s="189" t="str">
        <f t="shared" si="10"/>
        <v/>
      </c>
      <c r="J73" s="189" t="str">
        <f t="shared" si="11"/>
        <v/>
      </c>
    </row>
    <row r="74" spans="1:10" ht="30" x14ac:dyDescent="0.25">
      <c r="A74" s="218">
        <v>307.5</v>
      </c>
      <c r="B74" s="181" t="s">
        <v>296</v>
      </c>
      <c r="C74" s="189"/>
      <c r="D74" s="189">
        <v>1756000</v>
      </c>
      <c r="E74" s="189">
        <v>3143000</v>
      </c>
      <c r="F74" s="189">
        <f t="shared" si="7"/>
        <v>4899000</v>
      </c>
      <c r="G74" s="189" t="str">
        <f t="shared" si="8"/>
        <v/>
      </c>
      <c r="H74" s="216">
        <f t="shared" si="9"/>
        <v>1596028.4000000001</v>
      </c>
      <c r="I74" s="216">
        <f t="shared" si="10"/>
        <v>2904132</v>
      </c>
      <c r="J74" s="216">
        <f t="shared" si="11"/>
        <v>4500160.4000000004</v>
      </c>
    </row>
    <row r="75" spans="1:10" ht="30" x14ac:dyDescent="0.25">
      <c r="A75" s="218">
        <v>307.60000000000002</v>
      </c>
      <c r="B75" s="181" t="s">
        <v>296</v>
      </c>
      <c r="C75" s="189"/>
      <c r="D75" s="189"/>
      <c r="E75" s="189">
        <v>1456000</v>
      </c>
      <c r="F75" s="189">
        <f t="shared" si="7"/>
        <v>1456000</v>
      </c>
      <c r="G75" s="189" t="str">
        <f t="shared" si="8"/>
        <v/>
      </c>
      <c r="H75" s="189" t="str">
        <f t="shared" si="9"/>
        <v/>
      </c>
      <c r="I75" s="216">
        <f t="shared" si="10"/>
        <v>1345344</v>
      </c>
      <c r="J75" s="216">
        <f t="shared" si="11"/>
        <v>1345344</v>
      </c>
    </row>
    <row r="76" spans="1:10" x14ac:dyDescent="0.25">
      <c r="A76" s="218">
        <v>308</v>
      </c>
      <c r="B76" s="181" t="s">
        <v>298</v>
      </c>
      <c r="C76" s="189"/>
      <c r="D76" s="189"/>
      <c r="E76" s="189"/>
      <c r="F76" s="189" t="str">
        <f t="shared" si="7"/>
        <v/>
      </c>
      <c r="G76" s="189" t="str">
        <f t="shared" si="8"/>
        <v/>
      </c>
      <c r="H76" s="189" t="str">
        <f t="shared" si="9"/>
        <v/>
      </c>
      <c r="I76" s="189" t="str">
        <f t="shared" si="10"/>
        <v/>
      </c>
      <c r="J76" s="189" t="str">
        <f t="shared" si="11"/>
        <v/>
      </c>
    </row>
    <row r="77" spans="1:10" x14ac:dyDescent="0.25">
      <c r="A77" s="218">
        <v>308.5</v>
      </c>
      <c r="B77" s="181" t="s">
        <v>298</v>
      </c>
      <c r="C77" s="189"/>
      <c r="D77" s="189">
        <v>3512000</v>
      </c>
      <c r="E77" s="189">
        <v>6285000</v>
      </c>
      <c r="F77" s="189">
        <f t="shared" si="7"/>
        <v>9797000</v>
      </c>
      <c r="G77" s="189" t="str">
        <f t="shared" si="8"/>
        <v/>
      </c>
      <c r="H77" s="216">
        <f t="shared" si="9"/>
        <v>3192056.8000000003</v>
      </c>
      <c r="I77" s="216">
        <f t="shared" si="10"/>
        <v>5807340</v>
      </c>
      <c r="J77" s="216">
        <f t="shared" si="11"/>
        <v>8999396.8000000007</v>
      </c>
    </row>
    <row r="78" spans="1:10" x14ac:dyDescent="0.25">
      <c r="A78" s="218">
        <v>308.60000000000002</v>
      </c>
      <c r="B78" s="181" t="s">
        <v>298</v>
      </c>
      <c r="C78" s="189"/>
      <c r="D78" s="189"/>
      <c r="E78" s="189">
        <v>2913000</v>
      </c>
      <c r="F78" s="189">
        <f t="shared" si="7"/>
        <v>2913000</v>
      </c>
      <c r="G78" s="189" t="str">
        <f t="shared" si="8"/>
        <v/>
      </c>
      <c r="H78" s="189" t="str">
        <f t="shared" si="9"/>
        <v/>
      </c>
      <c r="I78" s="216">
        <f t="shared" si="10"/>
        <v>2691612</v>
      </c>
      <c r="J78" s="216">
        <f t="shared" si="11"/>
        <v>2691612</v>
      </c>
    </row>
    <row r="79" spans="1:10" x14ac:dyDescent="0.25">
      <c r="A79" s="218">
        <v>360</v>
      </c>
      <c r="B79" s="181" t="s">
        <v>299</v>
      </c>
      <c r="C79" s="189"/>
      <c r="D79" s="189"/>
      <c r="E79" s="189"/>
      <c r="F79" s="189" t="str">
        <f t="shared" si="7"/>
        <v/>
      </c>
      <c r="G79" s="189" t="str">
        <f t="shared" si="8"/>
        <v/>
      </c>
      <c r="H79" s="189" t="str">
        <f t="shared" si="9"/>
        <v/>
      </c>
      <c r="I79" s="189" t="str">
        <f t="shared" si="10"/>
        <v/>
      </c>
      <c r="J79" s="189" t="str">
        <f t="shared" si="11"/>
        <v/>
      </c>
    </row>
    <row r="80" spans="1:10" x14ac:dyDescent="0.25">
      <c r="A80" s="218">
        <v>360.8</v>
      </c>
      <c r="B80" s="181" t="s">
        <v>300</v>
      </c>
      <c r="C80" s="189"/>
      <c r="D80" s="189"/>
      <c r="E80" s="189">
        <v>9855000</v>
      </c>
      <c r="F80" s="189">
        <f t="shared" si="7"/>
        <v>9855000</v>
      </c>
      <c r="G80" s="189" t="str">
        <f t="shared" si="8"/>
        <v/>
      </c>
      <c r="H80" s="189" t="str">
        <f t="shared" si="9"/>
        <v/>
      </c>
      <c r="I80" s="216">
        <f t="shared" si="10"/>
        <v>9106020</v>
      </c>
      <c r="J80" s="216">
        <f t="shared" si="11"/>
        <v>9106020</v>
      </c>
    </row>
    <row r="81" spans="1:10" x14ac:dyDescent="0.25">
      <c r="A81" s="223"/>
      <c r="B81" s="181" t="s">
        <v>301</v>
      </c>
      <c r="C81" s="247">
        <f>SUM(F63:F80)</f>
        <v>52482000</v>
      </c>
      <c r="D81" s="248"/>
      <c r="E81" s="248"/>
      <c r="F81" s="249"/>
      <c r="G81" s="250">
        <f>SUM(J63:J80)</f>
        <v>48347797.599999994</v>
      </c>
      <c r="H81" s="251"/>
      <c r="I81" s="251"/>
      <c r="J81" s="252"/>
    </row>
    <row r="82" spans="1:10" x14ac:dyDescent="0.25">
      <c r="A82" s="223"/>
      <c r="B82" s="181" t="s">
        <v>302</v>
      </c>
      <c r="C82" s="250">
        <f>C81-G81</f>
        <v>4134202.400000006</v>
      </c>
      <c r="D82" s="251"/>
      <c r="E82" s="251"/>
      <c r="F82" s="251"/>
      <c r="G82" s="251"/>
      <c r="H82" s="251"/>
      <c r="I82" s="251"/>
      <c r="J82" s="252"/>
    </row>
    <row r="84" spans="1:10" x14ac:dyDescent="0.25">
      <c r="A84" s="253" t="s">
        <v>346</v>
      </c>
      <c r="B84" s="254"/>
      <c r="C84" s="254"/>
      <c r="D84" s="254"/>
      <c r="E84" s="254"/>
      <c r="F84" s="254"/>
      <c r="G84" s="254"/>
      <c r="H84" s="254"/>
      <c r="I84" s="254"/>
      <c r="J84" s="254"/>
    </row>
  </sheetData>
  <mergeCells count="19">
    <mergeCell ref="C81:F81"/>
    <mergeCell ref="G81:J81"/>
    <mergeCell ref="C82:J82"/>
    <mergeCell ref="A84:J84"/>
    <mergeCell ref="B43:J43"/>
    <mergeCell ref="B45:F45"/>
    <mergeCell ref="A58:B58"/>
    <mergeCell ref="C60:J60"/>
    <mergeCell ref="C61:F61"/>
    <mergeCell ref="G61:J61"/>
    <mergeCell ref="B2:F2"/>
    <mergeCell ref="C17:J17"/>
    <mergeCell ref="A41:J41"/>
    <mergeCell ref="A15:B15"/>
    <mergeCell ref="C18:F18"/>
    <mergeCell ref="G18:J18"/>
    <mergeCell ref="C38:F38"/>
    <mergeCell ref="G38:J38"/>
    <mergeCell ref="C39:J3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19" zoomScale="70" zoomScaleNormal="70" workbookViewId="0">
      <selection activeCell="D11" sqref="D11"/>
    </sheetView>
  </sheetViews>
  <sheetFormatPr defaultRowHeight="15" x14ac:dyDescent="0.25"/>
  <cols>
    <col min="1" max="1" width="37.5703125" customWidth="1"/>
    <col min="2" max="2" width="12.140625" style="1" customWidth="1"/>
    <col min="3" max="3" width="14.140625" style="1" customWidth="1"/>
    <col min="4" max="4" width="12.7109375" style="1" customWidth="1"/>
    <col min="5" max="5" width="48.85546875" customWidth="1"/>
    <col min="7" max="7" width="11.42578125" customWidth="1"/>
    <col min="8" max="8" width="37.140625" customWidth="1"/>
  </cols>
  <sheetData>
    <row r="1" spans="1:8" x14ac:dyDescent="0.25">
      <c r="A1" s="269" t="s">
        <v>260</v>
      </c>
      <c r="B1" s="270"/>
      <c r="C1" s="270"/>
      <c r="D1" s="270"/>
      <c r="E1" s="270"/>
      <c r="F1" s="270"/>
      <c r="G1" s="270"/>
      <c r="H1" t="s">
        <v>6</v>
      </c>
    </row>
    <row r="2" spans="1:8" s="149" customFormat="1" ht="60" x14ac:dyDescent="0.25">
      <c r="A2" s="146" t="s">
        <v>242</v>
      </c>
      <c r="B2" s="147" t="s">
        <v>1</v>
      </c>
      <c r="C2" s="147" t="s">
        <v>5</v>
      </c>
      <c r="D2" s="147" t="s">
        <v>4</v>
      </c>
      <c r="E2" s="146" t="s">
        <v>6</v>
      </c>
      <c r="F2" s="148" t="s">
        <v>15</v>
      </c>
      <c r="G2" s="147" t="s">
        <v>16</v>
      </c>
    </row>
    <row r="3" spans="1:8" x14ac:dyDescent="0.25">
      <c r="A3" s="143" t="s">
        <v>0</v>
      </c>
      <c r="B3" s="144">
        <v>156974274</v>
      </c>
      <c r="C3" s="144"/>
      <c r="D3" s="144">
        <f>B3*567.3/550.8</f>
        <v>161676662.38235295</v>
      </c>
      <c r="E3" s="143" t="s">
        <v>243</v>
      </c>
      <c r="F3" s="142">
        <v>2008</v>
      </c>
      <c r="G3" s="141">
        <v>575.4</v>
      </c>
    </row>
    <row r="4" spans="1:8" x14ac:dyDescent="0.25">
      <c r="A4" s="143" t="s">
        <v>2</v>
      </c>
      <c r="B4" s="144">
        <v>20875711</v>
      </c>
      <c r="C4" s="144"/>
      <c r="D4" s="144">
        <f>B4*567.3/550.8</f>
        <v>21501072.712962963</v>
      </c>
      <c r="E4" s="143" t="s">
        <v>244</v>
      </c>
      <c r="F4" s="142">
        <v>2009</v>
      </c>
      <c r="G4" s="141">
        <v>521.9</v>
      </c>
    </row>
    <row r="5" spans="1:8" x14ac:dyDescent="0.25">
      <c r="A5" s="143" t="s">
        <v>3</v>
      </c>
      <c r="B5" s="144">
        <v>102085500</v>
      </c>
      <c r="C5" s="190">
        <f>-('BOP '!F13+'BOP '!C39:J39)/2</f>
        <v>-25684166.5</v>
      </c>
      <c r="D5" s="190">
        <f>(B5+C5)*567.3/575.4</f>
        <v>75325819.420490086</v>
      </c>
      <c r="E5" s="143" t="s">
        <v>264</v>
      </c>
      <c r="F5" s="142">
        <v>2010</v>
      </c>
      <c r="G5" s="141">
        <v>550.79999999999995</v>
      </c>
      <c r="H5" t="s">
        <v>335</v>
      </c>
    </row>
    <row r="6" spans="1:8" x14ac:dyDescent="0.25">
      <c r="A6" s="143" t="s">
        <v>7</v>
      </c>
      <c r="B6" s="144">
        <v>8733104</v>
      </c>
      <c r="C6" s="144">
        <v>-8733104</v>
      </c>
      <c r="D6" s="144">
        <f>B6+C6</f>
        <v>0</v>
      </c>
      <c r="E6" s="143" t="s">
        <v>245</v>
      </c>
      <c r="F6" s="142">
        <v>2011</v>
      </c>
      <c r="G6" s="141">
        <v>585.70000000000005</v>
      </c>
    </row>
    <row r="7" spans="1:8" x14ac:dyDescent="0.25">
      <c r="A7" s="143" t="s">
        <v>8</v>
      </c>
      <c r="B7" s="144">
        <v>4583719</v>
      </c>
      <c r="C7" s="144">
        <v>-4583719</v>
      </c>
      <c r="D7" s="144">
        <f>B7+C7</f>
        <v>0</v>
      </c>
      <c r="E7" s="143" t="s">
        <v>245</v>
      </c>
      <c r="F7" s="142">
        <v>2012</v>
      </c>
      <c r="G7" s="141">
        <v>584.6</v>
      </c>
    </row>
    <row r="8" spans="1:8" x14ac:dyDescent="0.25">
      <c r="A8" s="143" t="s">
        <v>9</v>
      </c>
      <c r="B8" s="144">
        <v>20076644</v>
      </c>
      <c r="C8" s="144">
        <v>-20076644</v>
      </c>
      <c r="D8" s="144">
        <f>B8+C8</f>
        <v>0</v>
      </c>
      <c r="E8" s="143" t="s">
        <v>245</v>
      </c>
      <c r="F8" s="142">
        <v>2013</v>
      </c>
      <c r="G8" s="141">
        <v>567.29999999999995</v>
      </c>
    </row>
    <row r="9" spans="1:8" x14ac:dyDescent="0.25">
      <c r="A9" s="143" t="s">
        <v>10</v>
      </c>
      <c r="B9" s="144">
        <v>8348276</v>
      </c>
      <c r="C9" s="144">
        <v>-8348276</v>
      </c>
      <c r="D9" s="144">
        <f>B9+C9</f>
        <v>0</v>
      </c>
      <c r="E9" s="143" t="s">
        <v>245</v>
      </c>
    </row>
    <row r="10" spans="1:8" x14ac:dyDescent="0.25">
      <c r="A10" s="143" t="s">
        <v>17</v>
      </c>
      <c r="B10" s="271"/>
      <c r="C10" s="273"/>
      <c r="D10" s="190">
        <f>SUM(D3:D9)</f>
        <v>258503554.51580599</v>
      </c>
      <c r="E10" s="143"/>
    </row>
    <row r="11" spans="1:8" x14ac:dyDescent="0.25">
      <c r="A11" s="143" t="s">
        <v>14</v>
      </c>
      <c r="B11" s="144">
        <v>7901369</v>
      </c>
      <c r="C11" s="144"/>
      <c r="D11" s="144">
        <f>B11*567.3/575.4</f>
        <v>7790140.1350364964</v>
      </c>
      <c r="E11" s="143" t="s">
        <v>244</v>
      </c>
    </row>
    <row r="12" spans="1:8" x14ac:dyDescent="0.25">
      <c r="A12" s="143" t="s">
        <v>246</v>
      </c>
      <c r="B12" s="271"/>
      <c r="C12" s="272"/>
      <c r="D12" s="273"/>
      <c r="E12" s="143"/>
    </row>
    <row r="13" spans="1:8" x14ac:dyDescent="0.25">
      <c r="A13" s="143" t="s">
        <v>247</v>
      </c>
      <c r="B13" s="144">
        <v>2572707</v>
      </c>
      <c r="C13" s="144"/>
      <c r="D13" s="144">
        <f>B13*567.3/575.4</f>
        <v>2536490.5823774766</v>
      </c>
      <c r="E13" s="143" t="s">
        <v>244</v>
      </c>
    </row>
    <row r="14" spans="1:8" x14ac:dyDescent="0.25">
      <c r="A14" s="143" t="s">
        <v>248</v>
      </c>
      <c r="B14" s="160"/>
      <c r="C14" s="161"/>
      <c r="D14" s="190">
        <f>0.02*D10</f>
        <v>5170071.0903161196</v>
      </c>
      <c r="E14" s="143" t="s">
        <v>265</v>
      </c>
    </row>
    <row r="15" spans="1:8" x14ac:dyDescent="0.25">
      <c r="A15" s="143" t="s">
        <v>249</v>
      </c>
      <c r="B15" s="162"/>
      <c r="C15" s="163"/>
      <c r="D15" s="190">
        <f>0.01*D10</f>
        <v>2585035.5451580598</v>
      </c>
      <c r="E15" s="143" t="s">
        <v>266</v>
      </c>
    </row>
    <row r="16" spans="1:8" x14ac:dyDescent="0.25">
      <c r="A16" s="143" t="s">
        <v>250</v>
      </c>
      <c r="B16" s="162"/>
      <c r="C16" s="163"/>
      <c r="D16" s="190">
        <f>0.01*D10</f>
        <v>2585035.5451580598</v>
      </c>
      <c r="E16" s="143" t="s">
        <v>266</v>
      </c>
    </row>
    <row r="17" spans="1:7" x14ac:dyDescent="0.25">
      <c r="A17" s="150" t="s">
        <v>251</v>
      </c>
      <c r="B17" s="164"/>
      <c r="C17" s="165"/>
      <c r="D17" s="190">
        <f>SUM(D13:D16)</f>
        <v>12876632.763009716</v>
      </c>
      <c r="E17" s="143"/>
    </row>
    <row r="19" spans="1:7" s="2" customFormat="1" ht="27.95" customHeight="1" x14ac:dyDescent="0.25">
      <c r="A19" s="235" t="s">
        <v>261</v>
      </c>
      <c r="B19" s="235"/>
      <c r="C19" s="235"/>
      <c r="D19" s="235"/>
      <c r="E19" s="235"/>
    </row>
    <row r="23" spans="1:7" x14ac:dyDescent="0.25">
      <c r="A23" s="274" t="s">
        <v>345</v>
      </c>
      <c r="B23" s="275"/>
      <c r="C23" s="275"/>
      <c r="D23" s="275"/>
      <c r="E23" s="275"/>
      <c r="F23" s="275"/>
      <c r="G23" s="275"/>
    </row>
    <row r="24" spans="1:7" ht="60" x14ac:dyDescent="0.25">
      <c r="A24" s="191" t="s">
        <v>242</v>
      </c>
      <c r="B24" s="192" t="s">
        <v>1</v>
      </c>
      <c r="C24" s="192" t="s">
        <v>5</v>
      </c>
      <c r="D24" s="192" t="s">
        <v>4</v>
      </c>
      <c r="E24" s="191" t="s">
        <v>6</v>
      </c>
      <c r="F24" s="193" t="s">
        <v>15</v>
      </c>
      <c r="G24" s="192" t="s">
        <v>16</v>
      </c>
    </row>
    <row r="25" spans="1:7" x14ac:dyDescent="0.25">
      <c r="A25" s="150" t="s">
        <v>0</v>
      </c>
      <c r="B25" s="194">
        <v>156974274</v>
      </c>
      <c r="C25" s="194"/>
      <c r="D25" s="194">
        <f>B25*567.3/550.8</f>
        <v>161676662.38235295</v>
      </c>
      <c r="E25" s="150" t="s">
        <v>243</v>
      </c>
      <c r="F25" s="195">
        <v>2008</v>
      </c>
      <c r="G25" s="196">
        <v>575.4</v>
      </c>
    </row>
    <row r="26" spans="1:7" x14ac:dyDescent="0.25">
      <c r="A26" s="150" t="s">
        <v>2</v>
      </c>
      <c r="B26" s="194">
        <v>20875711</v>
      </c>
      <c r="C26" s="194"/>
      <c r="D26" s="194">
        <f>B26*567.3/550.8</f>
        <v>21501072.712962963</v>
      </c>
      <c r="E26" s="150" t="s">
        <v>244</v>
      </c>
      <c r="F26" s="195">
        <v>2009</v>
      </c>
      <c r="G26" s="196">
        <v>521.9</v>
      </c>
    </row>
    <row r="27" spans="1:7" x14ac:dyDescent="0.25">
      <c r="A27" s="150" t="s">
        <v>3</v>
      </c>
      <c r="B27" s="194">
        <v>102085500</v>
      </c>
      <c r="C27" s="215">
        <f>-('BOP '!F56+'BOP '!C82:J82)/2</f>
        <v>-10362101.200000003</v>
      </c>
      <c r="D27" s="215">
        <f>(B27+C27)*567.3/575.4</f>
        <v>90432193.498852968</v>
      </c>
      <c r="E27" s="214" t="s">
        <v>347</v>
      </c>
      <c r="F27" s="195">
        <v>2010</v>
      </c>
      <c r="G27" s="196">
        <v>550.79999999999995</v>
      </c>
    </row>
    <row r="28" spans="1:7" x14ac:dyDescent="0.25">
      <c r="A28" s="150" t="s">
        <v>7</v>
      </c>
      <c r="B28" s="194">
        <v>8733104</v>
      </c>
      <c r="C28" s="215">
        <v>0</v>
      </c>
      <c r="D28" s="215">
        <f>(B28+C28)*567.3/584.6</f>
        <v>8474666.2661648989</v>
      </c>
      <c r="E28" s="214" t="s">
        <v>341</v>
      </c>
      <c r="F28" s="195">
        <v>2011</v>
      </c>
      <c r="G28" s="196">
        <v>585.70000000000005</v>
      </c>
    </row>
    <row r="29" spans="1:7" x14ac:dyDescent="0.25">
      <c r="A29" s="150" t="s">
        <v>8</v>
      </c>
      <c r="B29" s="194">
        <v>4583719</v>
      </c>
      <c r="C29" s="215">
        <v>0</v>
      </c>
      <c r="D29" s="215">
        <f>(B29+C29)*567.3/584.6</f>
        <v>4448073.5352377687</v>
      </c>
      <c r="E29" s="214" t="s">
        <v>342</v>
      </c>
      <c r="F29" s="195">
        <v>2012</v>
      </c>
      <c r="G29" s="196">
        <v>584.6</v>
      </c>
    </row>
    <row r="30" spans="1:7" x14ac:dyDescent="0.25">
      <c r="A30" s="150" t="s">
        <v>9</v>
      </c>
      <c r="B30" s="194">
        <v>20076644</v>
      </c>
      <c r="C30" s="215">
        <v>0</v>
      </c>
      <c r="D30" s="215">
        <f t="shared" ref="D30:D31" si="0">(B30+C30)*567.3/584.6</f>
        <v>19482518.202531643</v>
      </c>
      <c r="E30" s="214" t="s">
        <v>343</v>
      </c>
      <c r="F30" s="195">
        <v>2013</v>
      </c>
      <c r="G30" s="196">
        <v>567.29999999999995</v>
      </c>
    </row>
    <row r="31" spans="1:7" x14ac:dyDescent="0.25">
      <c r="A31" s="150" t="s">
        <v>10</v>
      </c>
      <c r="B31" s="194">
        <v>8348276</v>
      </c>
      <c r="C31" s="215">
        <v>0</v>
      </c>
      <c r="D31" s="215">
        <f t="shared" si="0"/>
        <v>8101226.4365378022</v>
      </c>
      <c r="E31" s="214" t="s">
        <v>344</v>
      </c>
      <c r="F31" s="197"/>
      <c r="G31" s="197"/>
    </row>
    <row r="32" spans="1:7" x14ac:dyDescent="0.25">
      <c r="A32" s="150" t="s">
        <v>17</v>
      </c>
      <c r="B32" s="265"/>
      <c r="C32" s="266"/>
      <c r="D32" s="215">
        <f>SUM(D25:D31)</f>
        <v>314116413.03464103</v>
      </c>
      <c r="E32" s="150"/>
      <c r="F32" s="197"/>
      <c r="G32" s="197"/>
    </row>
    <row r="33" spans="1:7" x14ac:dyDescent="0.25">
      <c r="A33" s="150" t="s">
        <v>14</v>
      </c>
      <c r="B33" s="194">
        <v>7901369</v>
      </c>
      <c r="C33" s="194"/>
      <c r="D33" s="194">
        <f>B33*567.3/575.4</f>
        <v>7790140.1350364964</v>
      </c>
      <c r="E33" s="150" t="s">
        <v>244</v>
      </c>
      <c r="F33" s="197"/>
      <c r="G33" s="197"/>
    </row>
    <row r="34" spans="1:7" x14ac:dyDescent="0.25">
      <c r="A34" s="150" t="s">
        <v>246</v>
      </c>
      <c r="B34" s="265"/>
      <c r="C34" s="267"/>
      <c r="D34" s="266"/>
      <c r="E34" s="150"/>
      <c r="F34" s="197"/>
      <c r="G34" s="197"/>
    </row>
    <row r="35" spans="1:7" x14ac:dyDescent="0.25">
      <c r="A35" s="150" t="s">
        <v>247</v>
      </c>
      <c r="B35" s="194">
        <v>2572707</v>
      </c>
      <c r="C35" s="194"/>
      <c r="D35" s="194">
        <f>B35*567.3/575.4</f>
        <v>2536490.5823774766</v>
      </c>
      <c r="E35" s="150" t="s">
        <v>244</v>
      </c>
      <c r="F35" s="197"/>
      <c r="G35" s="197"/>
    </row>
    <row r="36" spans="1:7" x14ac:dyDescent="0.25">
      <c r="A36" s="150" t="s">
        <v>248</v>
      </c>
      <c r="B36" s="198"/>
      <c r="C36" s="199"/>
      <c r="D36" s="215">
        <f>0.02*D32</f>
        <v>6282328.2606928209</v>
      </c>
      <c r="E36" s="150" t="s">
        <v>265</v>
      </c>
      <c r="F36" s="197"/>
      <c r="G36" s="197"/>
    </row>
    <row r="37" spans="1:7" x14ac:dyDescent="0.25">
      <c r="A37" s="150" t="s">
        <v>249</v>
      </c>
      <c r="B37" s="200"/>
      <c r="C37" s="201"/>
      <c r="D37" s="215">
        <f>0.01*D32</f>
        <v>3141164.1303464104</v>
      </c>
      <c r="E37" s="150" t="s">
        <v>266</v>
      </c>
      <c r="F37" s="197"/>
      <c r="G37" s="197"/>
    </row>
    <row r="38" spans="1:7" x14ac:dyDescent="0.25">
      <c r="A38" s="150" t="s">
        <v>250</v>
      </c>
      <c r="B38" s="200"/>
      <c r="C38" s="201"/>
      <c r="D38" s="215">
        <f>0.01*D32</f>
        <v>3141164.1303464104</v>
      </c>
      <c r="E38" s="150" t="s">
        <v>266</v>
      </c>
      <c r="F38" s="197"/>
      <c r="G38" s="197"/>
    </row>
    <row r="39" spans="1:7" x14ac:dyDescent="0.25">
      <c r="A39" s="150" t="s">
        <v>251</v>
      </c>
      <c r="B39" s="202"/>
      <c r="C39" s="203"/>
      <c r="D39" s="215">
        <f>SUM(D35:D38)</f>
        <v>15101147.103763118</v>
      </c>
      <c r="E39" s="150"/>
      <c r="F39" s="197"/>
      <c r="G39" s="197"/>
    </row>
    <row r="41" spans="1:7" x14ac:dyDescent="0.25">
      <c r="A41" s="268" t="s">
        <v>346</v>
      </c>
      <c r="B41" s="268"/>
      <c r="C41" s="268"/>
      <c r="D41" s="268"/>
      <c r="E41" s="268"/>
    </row>
  </sheetData>
  <mergeCells count="8">
    <mergeCell ref="B32:C32"/>
    <mergeCell ref="B34:D34"/>
    <mergeCell ref="A41:E41"/>
    <mergeCell ref="A1:G1"/>
    <mergeCell ref="A19:E19"/>
    <mergeCell ref="B12:D12"/>
    <mergeCell ref="B10:C10"/>
    <mergeCell ref="A23:G2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60" zoomScaleNormal="60" workbookViewId="0">
      <selection activeCell="I19" sqref="I19"/>
    </sheetView>
  </sheetViews>
  <sheetFormatPr defaultRowHeight="15" x14ac:dyDescent="0.25"/>
  <cols>
    <col min="1" max="1" width="37.42578125" customWidth="1"/>
    <col min="2" max="2" width="13.140625" style="152" customWidth="1"/>
    <col min="3" max="3" width="15" style="151" customWidth="1"/>
    <col min="4" max="4" width="15.85546875" style="152" customWidth="1"/>
    <col min="5" max="5" width="49.5703125" customWidth="1"/>
    <col min="6" max="6" width="35.5703125" customWidth="1"/>
    <col min="10" max="10" width="20.42578125" bestFit="1" customWidth="1"/>
  </cols>
  <sheetData>
    <row r="1" spans="1:10" x14ac:dyDescent="0.25">
      <c r="A1" s="270" t="s">
        <v>267</v>
      </c>
      <c r="B1" s="270"/>
      <c r="C1" s="270"/>
      <c r="D1" s="270"/>
      <c r="E1" s="270"/>
    </row>
    <row r="2" spans="1:10" s="149" customFormat="1" ht="57.6" customHeight="1" x14ac:dyDescent="0.25">
      <c r="A2" s="146" t="s">
        <v>242</v>
      </c>
      <c r="B2" s="154" t="s">
        <v>253</v>
      </c>
      <c r="C2" s="153" t="s">
        <v>275</v>
      </c>
      <c r="D2" s="154" t="s">
        <v>276</v>
      </c>
      <c r="E2" s="146" t="s">
        <v>6</v>
      </c>
      <c r="F2" s="149" t="s">
        <v>6</v>
      </c>
    </row>
    <row r="3" spans="1:10" x14ac:dyDescent="0.25">
      <c r="A3" s="143" t="s">
        <v>252</v>
      </c>
      <c r="B3" s="190">
        <f>D9*'Entergy Costs'!D10</f>
        <v>20831871.753267273</v>
      </c>
      <c r="C3" s="155">
        <f>' IPM WB 1 - 0.68 lb'!C79/' IPM WB 1 - 2 lb'!C79</f>
        <v>0.95840720350844455</v>
      </c>
      <c r="D3" s="186">
        <f>C3*B3</f>
        <v>19965415.950895444</v>
      </c>
      <c r="E3" s="143" t="s">
        <v>328</v>
      </c>
      <c r="F3" t="s">
        <v>336</v>
      </c>
    </row>
    <row r="4" spans="1:10" ht="17.25" x14ac:dyDescent="0.25">
      <c r="A4" s="143" t="s">
        <v>352</v>
      </c>
      <c r="B4" s="190">
        <f>'Entergy Costs'!D11</f>
        <v>7790140.1350364964</v>
      </c>
      <c r="C4" s="155">
        <f>(' IPM WB 1 - 0.68 lb'!C80+' IPM WB 1 - 0.68 lb'!C81)/(' IPM WB 1 - 2 lb'!C80+' IPM WB 1 - 2 lb'!C81)</f>
        <v>0.58228338413154668</v>
      </c>
      <c r="D4" s="186">
        <f>C4*B4</f>
        <v>4536069.1606880352</v>
      </c>
      <c r="E4" s="143" t="s">
        <v>330</v>
      </c>
    </row>
    <row r="5" spans="1:10" x14ac:dyDescent="0.25">
      <c r="A5" s="143" t="s">
        <v>353</v>
      </c>
      <c r="B5" s="190">
        <f>'Entergy Costs'!D17</f>
        <v>12876632.763009716</v>
      </c>
      <c r="C5" s="226">
        <f>C3</f>
        <v>0.95840720350844455</v>
      </c>
      <c r="D5" s="186">
        <f>C5*B5</f>
        <v>12341057.597001357</v>
      </c>
      <c r="E5" s="143"/>
      <c r="F5" t="s">
        <v>354</v>
      </c>
    </row>
    <row r="6" spans="1:10" x14ac:dyDescent="0.25">
      <c r="A6" s="276" t="s">
        <v>254</v>
      </c>
      <c r="B6" s="277"/>
      <c r="C6" s="237"/>
      <c r="D6" s="186">
        <f>SUM(D3:D5)</f>
        <v>36842542.708584838</v>
      </c>
      <c r="E6" s="143"/>
    </row>
    <row r="7" spans="1:10" x14ac:dyDescent="0.25">
      <c r="A7" s="276" t="s">
        <v>12</v>
      </c>
      <c r="B7" s="277"/>
      <c r="C7" s="237"/>
      <c r="D7" s="145">
        <v>7</v>
      </c>
      <c r="E7" s="143"/>
    </row>
    <row r="8" spans="1:10" x14ac:dyDescent="0.25">
      <c r="A8" s="276" t="s">
        <v>13</v>
      </c>
      <c r="B8" s="277"/>
      <c r="C8" s="237"/>
      <c r="D8" s="145">
        <v>30</v>
      </c>
      <c r="E8" s="143"/>
    </row>
    <row r="9" spans="1:10" x14ac:dyDescent="0.25">
      <c r="A9" s="276" t="s">
        <v>11</v>
      </c>
      <c r="B9" s="277"/>
      <c r="C9" s="237"/>
      <c r="D9" s="176">
        <f>(D7/100*((1+D7/100)^30))/((1+D7/100)^D8-1)</f>
        <v>8.0586403511111196E-2</v>
      </c>
      <c r="E9" s="143"/>
    </row>
    <row r="10" spans="1:10" x14ac:dyDescent="0.25">
      <c r="A10" s="276" t="s">
        <v>257</v>
      </c>
      <c r="B10" s="277"/>
      <c r="C10" s="237"/>
      <c r="D10" s="158">
        <v>0.65292431257363126</v>
      </c>
      <c r="E10" s="159" t="s">
        <v>268</v>
      </c>
    </row>
    <row r="11" spans="1:10" ht="30" x14ac:dyDescent="0.25">
      <c r="A11" s="276" t="s">
        <v>258</v>
      </c>
      <c r="B11" s="277"/>
      <c r="C11" s="237"/>
      <c r="D11" s="158">
        <f>IF(0.05*D10&lt;0.06,(D10-0.06)/D10*100,95)</f>
        <v>90.810573470070651</v>
      </c>
      <c r="E11" s="159" t="s">
        <v>273</v>
      </c>
    </row>
    <row r="12" spans="1:10" x14ac:dyDescent="0.25">
      <c r="A12" s="278" t="s">
        <v>256</v>
      </c>
      <c r="B12" s="277"/>
      <c r="C12" s="237"/>
      <c r="D12" s="156">
        <v>15816.3136666667</v>
      </c>
      <c r="E12" s="143" t="s">
        <v>270</v>
      </c>
    </row>
    <row r="13" spans="1:10" x14ac:dyDescent="0.25">
      <c r="A13" s="278" t="s">
        <v>255</v>
      </c>
      <c r="B13" s="277"/>
      <c r="C13" s="237"/>
      <c r="D13" s="156">
        <f>D11/100*D12</f>
        <v>14362.885142525189</v>
      </c>
      <c r="E13" s="143"/>
    </row>
    <row r="14" spans="1:10" x14ac:dyDescent="0.25">
      <c r="A14" s="278" t="s">
        <v>259</v>
      </c>
      <c r="B14" s="277"/>
      <c r="C14" s="237"/>
      <c r="D14" s="186">
        <f>D6/D13</f>
        <v>2565.1213069651703</v>
      </c>
      <c r="E14" s="143"/>
    </row>
    <row r="15" spans="1:10" x14ac:dyDescent="0.25">
      <c r="A15" s="172"/>
      <c r="B15" s="173"/>
      <c r="C15" s="173"/>
      <c r="D15" s="174"/>
      <c r="E15" s="175"/>
      <c r="J15" s="306"/>
    </row>
    <row r="16" spans="1:10" x14ac:dyDescent="0.25">
      <c r="A16" s="270" t="s">
        <v>272</v>
      </c>
      <c r="B16" s="270"/>
      <c r="C16" s="270"/>
      <c r="D16" s="270"/>
      <c r="E16" s="270"/>
    </row>
    <row r="17" spans="1:5" ht="45" x14ac:dyDescent="0.25">
      <c r="A17" s="279" t="s">
        <v>242</v>
      </c>
      <c r="B17" s="280"/>
      <c r="C17" s="281"/>
      <c r="D17" s="154" t="s">
        <v>276</v>
      </c>
      <c r="E17" s="146" t="s">
        <v>6</v>
      </c>
    </row>
    <row r="18" spans="1:5" x14ac:dyDescent="0.25">
      <c r="A18" s="276" t="s">
        <v>254</v>
      </c>
      <c r="B18" s="277"/>
      <c r="C18" s="237"/>
      <c r="D18" s="186">
        <f>D6</f>
        <v>36842542.708584838</v>
      </c>
      <c r="E18" s="143" t="s">
        <v>329</v>
      </c>
    </row>
    <row r="19" spans="1:5" x14ac:dyDescent="0.25">
      <c r="A19" s="276" t="s">
        <v>12</v>
      </c>
      <c r="B19" s="277"/>
      <c r="C19" s="237"/>
      <c r="D19" s="145">
        <v>7</v>
      </c>
      <c r="E19" s="143"/>
    </row>
    <row r="20" spans="1:5" x14ac:dyDescent="0.25">
      <c r="A20" s="276" t="s">
        <v>13</v>
      </c>
      <c r="B20" s="277"/>
      <c r="C20" s="237"/>
      <c r="D20" s="145">
        <v>30</v>
      </c>
      <c r="E20" s="143"/>
    </row>
    <row r="21" spans="1:5" x14ac:dyDescent="0.25">
      <c r="A21" s="276" t="s">
        <v>11</v>
      </c>
      <c r="B21" s="277"/>
      <c r="C21" s="237"/>
      <c r="D21" s="176">
        <f>(D19/100*((1+D19/100)^30))/((1+D19/100)^D20-1)</f>
        <v>8.0586403511111196E-2</v>
      </c>
      <c r="E21" s="143"/>
    </row>
    <row r="22" spans="1:5" x14ac:dyDescent="0.25">
      <c r="A22" s="276" t="s">
        <v>257</v>
      </c>
      <c r="B22" s="277"/>
      <c r="C22" s="237"/>
      <c r="D22" s="158">
        <v>0.67875133282587119</v>
      </c>
      <c r="E22" s="159" t="s">
        <v>269</v>
      </c>
    </row>
    <row r="23" spans="1:5" ht="30" x14ac:dyDescent="0.25">
      <c r="A23" s="276" t="s">
        <v>258</v>
      </c>
      <c r="B23" s="277"/>
      <c r="C23" s="237"/>
      <c r="D23" s="158">
        <f>IF(0.05*D22&lt;0.06,(D22-0.06)/D22*100,95)</f>
        <v>91.160238352652684</v>
      </c>
      <c r="E23" s="159" t="s">
        <v>273</v>
      </c>
    </row>
    <row r="24" spans="1:5" x14ac:dyDescent="0.25">
      <c r="A24" s="278" t="s">
        <v>256</v>
      </c>
      <c r="B24" s="277"/>
      <c r="C24" s="237"/>
      <c r="D24" s="156">
        <v>16696.929333333333</v>
      </c>
      <c r="E24" s="143" t="s">
        <v>271</v>
      </c>
    </row>
    <row r="25" spans="1:5" x14ac:dyDescent="0.25">
      <c r="A25" s="278" t="s">
        <v>255</v>
      </c>
      <c r="B25" s="277"/>
      <c r="C25" s="237"/>
      <c r="D25" s="156">
        <f>D23/100*D24</f>
        <v>15220.960577840649</v>
      </c>
      <c r="E25" s="143"/>
    </row>
    <row r="26" spans="1:5" x14ac:dyDescent="0.25">
      <c r="A26" s="278" t="s">
        <v>259</v>
      </c>
      <c r="B26" s="277"/>
      <c r="C26" s="237"/>
      <c r="D26" s="186">
        <f>D18/D25</f>
        <v>2420.5136410524478</v>
      </c>
      <c r="E26" s="143"/>
    </row>
    <row r="27" spans="1:5" x14ac:dyDescent="0.25">
      <c r="A27" s="172"/>
      <c r="B27" s="173"/>
      <c r="C27" s="173"/>
      <c r="D27" s="174"/>
      <c r="E27" s="175"/>
    </row>
    <row r="28" spans="1:5" x14ac:dyDescent="0.25">
      <c r="A28" s="270" t="s">
        <v>274</v>
      </c>
      <c r="B28" s="270"/>
      <c r="C28" s="270"/>
      <c r="D28" s="270"/>
      <c r="E28" s="270"/>
    </row>
    <row r="29" spans="1:5" ht="45" x14ac:dyDescent="0.25">
      <c r="A29" s="279" t="s">
        <v>242</v>
      </c>
      <c r="B29" s="280"/>
      <c r="C29" s="281"/>
      <c r="D29" s="154" t="s">
        <v>276</v>
      </c>
      <c r="E29" s="146" t="s">
        <v>6</v>
      </c>
    </row>
    <row r="30" spans="1:5" x14ac:dyDescent="0.25">
      <c r="A30" s="276" t="s">
        <v>254</v>
      </c>
      <c r="B30" s="277"/>
      <c r="C30" s="237"/>
      <c r="D30" s="186">
        <f>D18</f>
        <v>36842542.708584838</v>
      </c>
      <c r="E30" s="143" t="s">
        <v>329</v>
      </c>
    </row>
    <row r="31" spans="1:5" x14ac:dyDescent="0.25">
      <c r="A31" s="276" t="s">
        <v>12</v>
      </c>
      <c r="B31" s="277"/>
      <c r="C31" s="237"/>
      <c r="D31" s="145">
        <v>7</v>
      </c>
      <c r="E31" s="143"/>
    </row>
    <row r="32" spans="1:5" x14ac:dyDescent="0.25">
      <c r="A32" s="276" t="s">
        <v>13</v>
      </c>
      <c r="B32" s="277"/>
      <c r="C32" s="237"/>
      <c r="D32" s="145">
        <v>30</v>
      </c>
      <c r="E32" s="143"/>
    </row>
    <row r="33" spans="1:5" x14ac:dyDescent="0.25">
      <c r="A33" s="276" t="s">
        <v>11</v>
      </c>
      <c r="B33" s="277"/>
      <c r="C33" s="237"/>
      <c r="D33" s="176">
        <f>(D31/100*((1+D31/100)^30))/((1+D31/100)^D32-1)</f>
        <v>8.0586403511111196E-2</v>
      </c>
      <c r="E33" s="143"/>
    </row>
    <row r="34" spans="1:5" x14ac:dyDescent="0.25">
      <c r="A34" s="276" t="s">
        <v>257</v>
      </c>
      <c r="B34" s="277"/>
      <c r="C34" s="237"/>
      <c r="D34" s="158">
        <v>0.63107654316289763</v>
      </c>
      <c r="E34" s="159" t="s">
        <v>268</v>
      </c>
    </row>
    <row r="35" spans="1:5" ht="30" x14ac:dyDescent="0.25">
      <c r="A35" s="276" t="s">
        <v>258</v>
      </c>
      <c r="B35" s="277"/>
      <c r="C35" s="237"/>
      <c r="D35" s="158">
        <f>IF(0.05*D34&lt;0.06,(D34-0.06)/D34*100,95)</f>
        <v>90.492436987233688</v>
      </c>
      <c r="E35" s="159" t="s">
        <v>273</v>
      </c>
    </row>
    <row r="36" spans="1:5" x14ac:dyDescent="0.25">
      <c r="A36" s="278" t="s">
        <v>256</v>
      </c>
      <c r="B36" s="277"/>
      <c r="C36" s="237"/>
      <c r="D36" s="156">
        <v>14268.576666666662</v>
      </c>
      <c r="E36" s="143" t="s">
        <v>270</v>
      </c>
    </row>
    <row r="37" spans="1:5" x14ac:dyDescent="0.25">
      <c r="A37" s="278" t="s">
        <v>255</v>
      </c>
      <c r="B37" s="277"/>
      <c r="C37" s="237"/>
      <c r="D37" s="156">
        <f>D35/100*D36</f>
        <v>12911.982749058459</v>
      </c>
      <c r="E37" s="143"/>
    </row>
    <row r="38" spans="1:5" x14ac:dyDescent="0.25">
      <c r="A38" s="278" t="s">
        <v>259</v>
      </c>
      <c r="B38" s="277"/>
      <c r="C38" s="237"/>
      <c r="D38" s="186">
        <f>D30/D37</f>
        <v>2853.360589509105</v>
      </c>
      <c r="E38" s="143"/>
    </row>
    <row r="39" spans="1:5" x14ac:dyDescent="0.25">
      <c r="A39" s="172"/>
      <c r="B39" s="173"/>
      <c r="C39" s="173"/>
      <c r="D39" s="174"/>
      <c r="E39" s="175"/>
    </row>
    <row r="40" spans="1:5" x14ac:dyDescent="0.25">
      <c r="A40" s="270" t="s">
        <v>277</v>
      </c>
      <c r="B40" s="270"/>
      <c r="C40" s="270"/>
      <c r="D40" s="270"/>
      <c r="E40" s="270"/>
    </row>
    <row r="41" spans="1:5" ht="45" x14ac:dyDescent="0.25">
      <c r="A41" s="279" t="s">
        <v>242</v>
      </c>
      <c r="B41" s="280"/>
      <c r="C41" s="281"/>
      <c r="D41" s="154" t="s">
        <v>276</v>
      </c>
      <c r="E41" s="146" t="s">
        <v>6</v>
      </c>
    </row>
    <row r="42" spans="1:5" x14ac:dyDescent="0.25">
      <c r="A42" s="276" t="s">
        <v>254</v>
      </c>
      <c r="B42" s="277"/>
      <c r="C42" s="237"/>
      <c r="D42" s="186">
        <f>D30</f>
        <v>36842542.708584838</v>
      </c>
      <c r="E42" s="143" t="s">
        <v>329</v>
      </c>
    </row>
    <row r="43" spans="1:5" x14ac:dyDescent="0.25">
      <c r="A43" s="276" t="s">
        <v>12</v>
      </c>
      <c r="B43" s="277"/>
      <c r="C43" s="237"/>
      <c r="D43" s="145">
        <v>7</v>
      </c>
      <c r="E43" s="143"/>
    </row>
    <row r="44" spans="1:5" x14ac:dyDescent="0.25">
      <c r="A44" s="276" t="s">
        <v>13</v>
      </c>
      <c r="B44" s="277"/>
      <c r="C44" s="237"/>
      <c r="D44" s="145">
        <v>30</v>
      </c>
      <c r="E44" s="143"/>
    </row>
    <row r="45" spans="1:5" x14ac:dyDescent="0.25">
      <c r="A45" s="276" t="s">
        <v>11</v>
      </c>
      <c r="B45" s="277"/>
      <c r="C45" s="237"/>
      <c r="D45" s="176">
        <f>(D43/100*((1+D43/100)^30))/((1+D43/100)^D44-1)</f>
        <v>8.0586403511111196E-2</v>
      </c>
      <c r="E45" s="143"/>
    </row>
    <row r="46" spans="1:5" x14ac:dyDescent="0.25">
      <c r="A46" s="276" t="s">
        <v>257</v>
      </c>
      <c r="B46" s="277"/>
      <c r="C46" s="237"/>
      <c r="D46" s="158">
        <v>0.61150676379846403</v>
      </c>
      <c r="E46" s="159" t="s">
        <v>269</v>
      </c>
    </row>
    <row r="47" spans="1:5" ht="30" x14ac:dyDescent="0.25">
      <c r="A47" s="276" t="s">
        <v>258</v>
      </c>
      <c r="B47" s="277"/>
      <c r="C47" s="237"/>
      <c r="D47" s="158">
        <f>IF(0.05*D46&lt;0.06,(D46-0.06)/D46*100,95)</f>
        <v>90.188170670868601</v>
      </c>
      <c r="E47" s="159" t="s">
        <v>273</v>
      </c>
    </row>
    <row r="48" spans="1:5" x14ac:dyDescent="0.25">
      <c r="A48" s="278" t="s">
        <v>256</v>
      </c>
      <c r="B48" s="277"/>
      <c r="C48" s="237"/>
      <c r="D48" s="156">
        <v>15511.461333333333</v>
      </c>
      <c r="E48" s="143" t="s">
        <v>271</v>
      </c>
    </row>
    <row r="49" spans="1:5" x14ac:dyDescent="0.25">
      <c r="A49" s="278" t="s">
        <v>255</v>
      </c>
      <c r="B49" s="277"/>
      <c r="C49" s="237"/>
      <c r="D49" s="156">
        <f>D47/100*D48</f>
        <v>13989.503220852457</v>
      </c>
      <c r="E49" s="143"/>
    </row>
    <row r="50" spans="1:5" x14ac:dyDescent="0.25">
      <c r="A50" s="278" t="s">
        <v>259</v>
      </c>
      <c r="B50" s="277"/>
      <c r="C50" s="237"/>
      <c r="D50" s="186">
        <f>D42/D49</f>
        <v>2633.5847761676141</v>
      </c>
      <c r="E50" s="143"/>
    </row>
    <row r="51" spans="1:5" x14ac:dyDescent="0.25">
      <c r="A51" s="172"/>
      <c r="B51" s="173"/>
      <c r="C51" s="173"/>
      <c r="D51" s="174"/>
      <c r="E51" s="175"/>
    </row>
    <row r="52" spans="1:5" x14ac:dyDescent="0.25">
      <c r="A52" s="235" t="s">
        <v>327</v>
      </c>
      <c r="B52" s="235"/>
      <c r="C52" s="235"/>
      <c r="D52" s="235"/>
      <c r="E52" s="235"/>
    </row>
    <row r="53" spans="1:5" s="2" customFormat="1" ht="18" customHeight="1" x14ac:dyDescent="0.25">
      <c r="A53" s="235" t="s">
        <v>262</v>
      </c>
      <c r="B53" s="235"/>
      <c r="C53" s="235"/>
      <c r="D53" s="235"/>
      <c r="E53" s="235"/>
    </row>
    <row r="57" spans="1:5" x14ac:dyDescent="0.25">
      <c r="A57" s="275" t="s">
        <v>337</v>
      </c>
      <c r="B57" s="275"/>
      <c r="C57" s="275"/>
      <c r="D57" s="275"/>
      <c r="E57" s="275"/>
    </row>
    <row r="58" spans="1:5" ht="47.25" x14ac:dyDescent="0.25">
      <c r="A58" s="191" t="s">
        <v>242</v>
      </c>
      <c r="B58" s="204" t="s">
        <v>253</v>
      </c>
      <c r="C58" s="205" t="s">
        <v>275</v>
      </c>
      <c r="D58" s="204" t="s">
        <v>276</v>
      </c>
      <c r="E58" s="191" t="s">
        <v>6</v>
      </c>
    </row>
    <row r="59" spans="1:5" x14ac:dyDescent="0.25">
      <c r="A59" s="150" t="s">
        <v>252</v>
      </c>
      <c r="B59" s="215">
        <f>D9*'Entergy Costs'!D32</f>
        <v>25313512.010272451</v>
      </c>
      <c r="C59" s="206">
        <f>' IPM WB 1 - 0.68 lb'!C79/' IPM WB 1 - 2 lb'!C79</f>
        <v>0.95840720350844455</v>
      </c>
      <c r="D59" s="216">
        <f>C59*B59</f>
        <v>24260652.256742645</v>
      </c>
      <c r="E59" s="150" t="s">
        <v>328</v>
      </c>
    </row>
    <row r="60" spans="1:5" ht="17.25" x14ac:dyDescent="0.25">
      <c r="A60" s="150" t="s">
        <v>352</v>
      </c>
      <c r="B60" s="215">
        <f>'Entergy Costs'!D33</f>
        <v>7790140.1350364964</v>
      </c>
      <c r="C60" s="206">
        <f>(' IPM WB 1 - 0.68 lb'!C80+' IPM WB 1 - 0.68 lb'!C81)/(' IPM WB 1 - 2 lb'!C80+' IPM WB 1 - 2 lb'!C81)</f>
        <v>0.58228338413154668</v>
      </c>
      <c r="D60" s="216">
        <f>C60*B60</f>
        <v>4536069.1606880352</v>
      </c>
      <c r="E60" s="150" t="s">
        <v>330</v>
      </c>
    </row>
    <row r="61" spans="1:5" x14ac:dyDescent="0.25">
      <c r="A61" s="143" t="s">
        <v>353</v>
      </c>
      <c r="B61" s="215">
        <f>'Entergy Costs'!D39</f>
        <v>15101147.103763118</v>
      </c>
      <c r="C61" s="225">
        <f>C59</f>
        <v>0.95840720350844455</v>
      </c>
      <c r="D61" s="216">
        <f>C61*B61</f>
        <v>14473048.165487258</v>
      </c>
      <c r="E61" s="143"/>
    </row>
    <row r="62" spans="1:5" x14ac:dyDescent="0.25">
      <c r="A62" s="278" t="s">
        <v>254</v>
      </c>
      <c r="B62" s="282"/>
      <c r="C62" s="260"/>
      <c r="D62" s="216">
        <f>SUM(D59:D61)</f>
        <v>43269769.582917936</v>
      </c>
      <c r="E62" s="150"/>
    </row>
    <row r="63" spans="1:5" x14ac:dyDescent="0.25">
      <c r="A63" s="278" t="s">
        <v>12</v>
      </c>
      <c r="B63" s="282"/>
      <c r="C63" s="260"/>
      <c r="D63" s="207">
        <v>7</v>
      </c>
      <c r="E63" s="150"/>
    </row>
    <row r="64" spans="1:5" x14ac:dyDescent="0.25">
      <c r="A64" s="278" t="s">
        <v>13</v>
      </c>
      <c r="B64" s="282"/>
      <c r="C64" s="260"/>
      <c r="D64" s="207">
        <v>30</v>
      </c>
      <c r="E64" s="150"/>
    </row>
    <row r="65" spans="1:5" x14ac:dyDescent="0.25">
      <c r="A65" s="278" t="s">
        <v>11</v>
      </c>
      <c r="B65" s="282"/>
      <c r="C65" s="260"/>
      <c r="D65" s="208">
        <f>(D63/100*((1+D63/100)^30))/((1+D63/100)^D64-1)</f>
        <v>8.0586403511111196E-2</v>
      </c>
      <c r="E65" s="150"/>
    </row>
    <row r="66" spans="1:5" x14ac:dyDescent="0.25">
      <c r="A66" s="278" t="s">
        <v>257</v>
      </c>
      <c r="B66" s="282"/>
      <c r="C66" s="260"/>
      <c r="D66" s="209">
        <v>0.65292431257363126</v>
      </c>
      <c r="E66" s="210" t="s">
        <v>268</v>
      </c>
    </row>
    <row r="67" spans="1:5" ht="30" x14ac:dyDescent="0.25">
      <c r="A67" s="278" t="s">
        <v>258</v>
      </c>
      <c r="B67" s="282"/>
      <c r="C67" s="260"/>
      <c r="D67" s="209">
        <f>IF(0.05*D66&lt;0.06,(D66-0.06)/D66*100,95)</f>
        <v>90.810573470070651</v>
      </c>
      <c r="E67" s="210" t="s">
        <v>273</v>
      </c>
    </row>
    <row r="68" spans="1:5" x14ac:dyDescent="0.25">
      <c r="A68" s="278" t="s">
        <v>256</v>
      </c>
      <c r="B68" s="282"/>
      <c r="C68" s="260"/>
      <c r="D68" s="211">
        <v>15816.3136666667</v>
      </c>
      <c r="E68" s="150" t="s">
        <v>270</v>
      </c>
    </row>
    <row r="69" spans="1:5" x14ac:dyDescent="0.25">
      <c r="A69" s="278" t="s">
        <v>255</v>
      </c>
      <c r="B69" s="282"/>
      <c r="C69" s="260"/>
      <c r="D69" s="211">
        <f>D67/100*D68</f>
        <v>14362.885142525189</v>
      </c>
      <c r="E69" s="150"/>
    </row>
    <row r="70" spans="1:5" x14ac:dyDescent="0.25">
      <c r="A70" s="278" t="s">
        <v>259</v>
      </c>
      <c r="B70" s="282"/>
      <c r="C70" s="260"/>
      <c r="D70" s="216">
        <f>D62/D69</f>
        <v>3012.6098728455422</v>
      </c>
      <c r="E70" s="150"/>
    </row>
    <row r="71" spans="1:5" x14ac:dyDescent="0.25">
      <c r="A71" s="172"/>
      <c r="B71" s="172"/>
      <c r="C71" s="172"/>
      <c r="D71" s="212"/>
      <c r="E71" s="213"/>
    </row>
    <row r="72" spans="1:5" x14ac:dyDescent="0.25">
      <c r="A72" s="275" t="s">
        <v>338</v>
      </c>
      <c r="B72" s="275"/>
      <c r="C72" s="275"/>
      <c r="D72" s="275"/>
      <c r="E72" s="275"/>
    </row>
    <row r="73" spans="1:5" ht="45" x14ac:dyDescent="0.25">
      <c r="A73" s="283" t="s">
        <v>242</v>
      </c>
      <c r="B73" s="284"/>
      <c r="C73" s="285"/>
      <c r="D73" s="204" t="s">
        <v>276</v>
      </c>
      <c r="E73" s="191" t="s">
        <v>6</v>
      </c>
    </row>
    <row r="74" spans="1:5" x14ac:dyDescent="0.25">
      <c r="A74" s="278" t="s">
        <v>254</v>
      </c>
      <c r="B74" s="282"/>
      <c r="C74" s="260"/>
      <c r="D74" s="216">
        <f>D62</f>
        <v>43269769.582917936</v>
      </c>
      <c r="E74" s="150" t="s">
        <v>329</v>
      </c>
    </row>
    <row r="75" spans="1:5" x14ac:dyDescent="0.25">
      <c r="A75" s="278" t="s">
        <v>12</v>
      </c>
      <c r="B75" s="282"/>
      <c r="C75" s="260"/>
      <c r="D75" s="207">
        <v>7</v>
      </c>
      <c r="E75" s="150"/>
    </row>
    <row r="76" spans="1:5" x14ac:dyDescent="0.25">
      <c r="A76" s="278" t="s">
        <v>13</v>
      </c>
      <c r="B76" s="282"/>
      <c r="C76" s="260"/>
      <c r="D76" s="207">
        <v>30</v>
      </c>
      <c r="E76" s="150"/>
    </row>
    <row r="77" spans="1:5" x14ac:dyDescent="0.25">
      <c r="A77" s="278" t="s">
        <v>11</v>
      </c>
      <c r="B77" s="282"/>
      <c r="C77" s="260"/>
      <c r="D77" s="208">
        <f>(D75/100*((1+D75/100)^30))/((1+D75/100)^D76-1)</f>
        <v>8.0586403511111196E-2</v>
      </c>
      <c r="E77" s="150"/>
    </row>
    <row r="78" spans="1:5" x14ac:dyDescent="0.25">
      <c r="A78" s="278" t="s">
        <v>257</v>
      </c>
      <c r="B78" s="282"/>
      <c r="C78" s="260"/>
      <c r="D78" s="209">
        <v>0.67875133282587119</v>
      </c>
      <c r="E78" s="210" t="s">
        <v>269</v>
      </c>
    </row>
    <row r="79" spans="1:5" ht="30" x14ac:dyDescent="0.25">
      <c r="A79" s="278" t="s">
        <v>258</v>
      </c>
      <c r="B79" s="282"/>
      <c r="C79" s="260"/>
      <c r="D79" s="209">
        <f>IF(0.05*D78&lt;0.06,(D78-0.06)/D78*100,95)</f>
        <v>91.160238352652684</v>
      </c>
      <c r="E79" s="210" t="s">
        <v>273</v>
      </c>
    </row>
    <row r="80" spans="1:5" x14ac:dyDescent="0.25">
      <c r="A80" s="278" t="s">
        <v>256</v>
      </c>
      <c r="B80" s="282"/>
      <c r="C80" s="260"/>
      <c r="D80" s="211">
        <v>16696.929333333333</v>
      </c>
      <c r="E80" s="150" t="s">
        <v>271</v>
      </c>
    </row>
    <row r="81" spans="1:5" x14ac:dyDescent="0.25">
      <c r="A81" s="278" t="s">
        <v>255</v>
      </c>
      <c r="B81" s="282"/>
      <c r="C81" s="260"/>
      <c r="D81" s="211">
        <f>D79/100*D80</f>
        <v>15220.960577840649</v>
      </c>
      <c r="E81" s="150"/>
    </row>
    <row r="82" spans="1:5" x14ac:dyDescent="0.25">
      <c r="A82" s="278" t="s">
        <v>259</v>
      </c>
      <c r="B82" s="282"/>
      <c r="C82" s="260"/>
      <c r="D82" s="216">
        <f>D74/D81</f>
        <v>2842.7752218156315</v>
      </c>
      <c r="E82" s="150"/>
    </row>
    <row r="83" spans="1:5" x14ac:dyDescent="0.25">
      <c r="A83" s="172"/>
      <c r="B83" s="172"/>
      <c r="C83" s="172"/>
      <c r="D83" s="212"/>
      <c r="E83" s="213"/>
    </row>
    <row r="84" spans="1:5" x14ac:dyDescent="0.25">
      <c r="A84" s="275" t="s">
        <v>339</v>
      </c>
      <c r="B84" s="275"/>
      <c r="C84" s="275"/>
      <c r="D84" s="275"/>
      <c r="E84" s="275"/>
    </row>
    <row r="85" spans="1:5" ht="45" x14ac:dyDescent="0.25">
      <c r="A85" s="283" t="s">
        <v>242</v>
      </c>
      <c r="B85" s="284"/>
      <c r="C85" s="285"/>
      <c r="D85" s="204" t="s">
        <v>276</v>
      </c>
      <c r="E85" s="191" t="s">
        <v>6</v>
      </c>
    </row>
    <row r="86" spans="1:5" x14ac:dyDescent="0.25">
      <c r="A86" s="278" t="s">
        <v>254</v>
      </c>
      <c r="B86" s="282"/>
      <c r="C86" s="260"/>
      <c r="D86" s="216">
        <f>D74</f>
        <v>43269769.582917936</v>
      </c>
      <c r="E86" s="150" t="s">
        <v>329</v>
      </c>
    </row>
    <row r="87" spans="1:5" x14ac:dyDescent="0.25">
      <c r="A87" s="278" t="s">
        <v>12</v>
      </c>
      <c r="B87" s="282"/>
      <c r="C87" s="260"/>
      <c r="D87" s="207">
        <v>7</v>
      </c>
      <c r="E87" s="150"/>
    </row>
    <row r="88" spans="1:5" x14ac:dyDescent="0.25">
      <c r="A88" s="278" t="s">
        <v>13</v>
      </c>
      <c r="B88" s="282"/>
      <c r="C88" s="260"/>
      <c r="D88" s="207">
        <v>30</v>
      </c>
      <c r="E88" s="150"/>
    </row>
    <row r="89" spans="1:5" x14ac:dyDescent="0.25">
      <c r="A89" s="278" t="s">
        <v>11</v>
      </c>
      <c r="B89" s="282"/>
      <c r="C89" s="260"/>
      <c r="D89" s="208">
        <f>(D87/100*((1+D87/100)^30))/((1+D87/100)^D88-1)</f>
        <v>8.0586403511111196E-2</v>
      </c>
      <c r="E89" s="150"/>
    </row>
    <row r="90" spans="1:5" x14ac:dyDescent="0.25">
      <c r="A90" s="278" t="s">
        <v>257</v>
      </c>
      <c r="B90" s="282"/>
      <c r="C90" s="260"/>
      <c r="D90" s="209">
        <v>0.63107654316289763</v>
      </c>
      <c r="E90" s="210" t="s">
        <v>268</v>
      </c>
    </row>
    <row r="91" spans="1:5" ht="30" x14ac:dyDescent="0.25">
      <c r="A91" s="278" t="s">
        <v>258</v>
      </c>
      <c r="B91" s="282"/>
      <c r="C91" s="260"/>
      <c r="D91" s="209">
        <f>IF(0.05*D90&lt;0.06,(D90-0.06)/D90*100,95)</f>
        <v>90.492436987233688</v>
      </c>
      <c r="E91" s="210" t="s">
        <v>273</v>
      </c>
    </row>
    <row r="92" spans="1:5" x14ac:dyDescent="0.25">
      <c r="A92" s="278" t="s">
        <v>256</v>
      </c>
      <c r="B92" s="282"/>
      <c r="C92" s="260"/>
      <c r="D92" s="211">
        <v>14268.576666666662</v>
      </c>
      <c r="E92" s="150" t="s">
        <v>270</v>
      </c>
    </row>
    <row r="93" spans="1:5" x14ac:dyDescent="0.25">
      <c r="A93" s="278" t="s">
        <v>255</v>
      </c>
      <c r="B93" s="282"/>
      <c r="C93" s="260"/>
      <c r="D93" s="211">
        <f>D91/100*D92</f>
        <v>12911.982749058459</v>
      </c>
      <c r="E93" s="150"/>
    </row>
    <row r="94" spans="1:5" x14ac:dyDescent="0.25">
      <c r="A94" s="278" t="s">
        <v>259</v>
      </c>
      <c r="B94" s="282"/>
      <c r="C94" s="260"/>
      <c r="D94" s="216">
        <f>D86/D93</f>
        <v>3351.1328526266166</v>
      </c>
      <c r="E94" s="150"/>
    </row>
    <row r="95" spans="1:5" x14ac:dyDescent="0.25">
      <c r="A95" s="172"/>
      <c r="B95" s="172"/>
      <c r="C95" s="172"/>
      <c r="D95" s="212"/>
      <c r="E95" s="213"/>
    </row>
    <row r="96" spans="1:5" x14ac:dyDescent="0.25">
      <c r="A96" s="275" t="s">
        <v>340</v>
      </c>
      <c r="B96" s="275"/>
      <c r="C96" s="275"/>
      <c r="D96" s="275"/>
      <c r="E96" s="275"/>
    </row>
    <row r="97" spans="1:5" ht="45" x14ac:dyDescent="0.25">
      <c r="A97" s="283" t="s">
        <v>242</v>
      </c>
      <c r="B97" s="284"/>
      <c r="C97" s="285"/>
      <c r="D97" s="204" t="s">
        <v>276</v>
      </c>
      <c r="E97" s="191" t="s">
        <v>6</v>
      </c>
    </row>
    <row r="98" spans="1:5" x14ac:dyDescent="0.25">
      <c r="A98" s="278" t="s">
        <v>254</v>
      </c>
      <c r="B98" s="282"/>
      <c r="C98" s="260"/>
      <c r="D98" s="216">
        <f>D86</f>
        <v>43269769.582917936</v>
      </c>
      <c r="E98" s="150" t="s">
        <v>329</v>
      </c>
    </row>
    <row r="99" spans="1:5" x14ac:dyDescent="0.25">
      <c r="A99" s="278" t="s">
        <v>12</v>
      </c>
      <c r="B99" s="282"/>
      <c r="C99" s="260"/>
      <c r="D99" s="207">
        <v>7</v>
      </c>
      <c r="E99" s="150"/>
    </row>
    <row r="100" spans="1:5" x14ac:dyDescent="0.25">
      <c r="A100" s="278" t="s">
        <v>13</v>
      </c>
      <c r="B100" s="282"/>
      <c r="C100" s="260"/>
      <c r="D100" s="207">
        <v>30</v>
      </c>
      <c r="E100" s="150"/>
    </row>
    <row r="101" spans="1:5" x14ac:dyDescent="0.25">
      <c r="A101" s="278" t="s">
        <v>11</v>
      </c>
      <c r="B101" s="282"/>
      <c r="C101" s="260"/>
      <c r="D101" s="208">
        <f>(D99/100*((1+D99/100)^30))/((1+D99/100)^D100-1)</f>
        <v>8.0586403511111196E-2</v>
      </c>
      <c r="E101" s="150"/>
    </row>
    <row r="102" spans="1:5" x14ac:dyDescent="0.25">
      <c r="A102" s="278" t="s">
        <v>257</v>
      </c>
      <c r="B102" s="282"/>
      <c r="C102" s="260"/>
      <c r="D102" s="209">
        <v>0.61150676379846403</v>
      </c>
      <c r="E102" s="210" t="s">
        <v>269</v>
      </c>
    </row>
    <row r="103" spans="1:5" ht="30" x14ac:dyDescent="0.25">
      <c r="A103" s="278" t="s">
        <v>258</v>
      </c>
      <c r="B103" s="282"/>
      <c r="C103" s="260"/>
      <c r="D103" s="209">
        <f>IF(0.05*D102&lt;0.06,(D102-0.06)/D102*100,95)</f>
        <v>90.188170670868601</v>
      </c>
      <c r="E103" s="210" t="s">
        <v>273</v>
      </c>
    </row>
    <row r="104" spans="1:5" x14ac:dyDescent="0.25">
      <c r="A104" s="278" t="s">
        <v>256</v>
      </c>
      <c r="B104" s="282"/>
      <c r="C104" s="260"/>
      <c r="D104" s="211">
        <v>15511.461333333333</v>
      </c>
      <c r="E104" s="150" t="s">
        <v>271</v>
      </c>
    </row>
    <row r="105" spans="1:5" x14ac:dyDescent="0.25">
      <c r="A105" s="278" t="s">
        <v>255</v>
      </c>
      <c r="B105" s="282"/>
      <c r="C105" s="260"/>
      <c r="D105" s="211">
        <f>D103/100*D104</f>
        <v>13989.503220852457</v>
      </c>
      <c r="E105" s="150"/>
    </row>
    <row r="106" spans="1:5" x14ac:dyDescent="0.25">
      <c r="A106" s="278" t="s">
        <v>259</v>
      </c>
      <c r="B106" s="282"/>
      <c r="C106" s="260"/>
      <c r="D106" s="216">
        <f>D98/D105</f>
        <v>3093.0168784278867</v>
      </c>
      <c r="E106" s="150"/>
    </row>
  </sheetData>
  <mergeCells count="88">
    <mergeCell ref="A104:C104"/>
    <mergeCell ref="A105:C105"/>
    <mergeCell ref="A106:C106"/>
    <mergeCell ref="A99:C99"/>
    <mergeCell ref="A100:C100"/>
    <mergeCell ref="A101:C101"/>
    <mergeCell ref="A102:C102"/>
    <mergeCell ref="A103:C103"/>
    <mergeCell ref="A93:C93"/>
    <mergeCell ref="A94:C94"/>
    <mergeCell ref="A96:E96"/>
    <mergeCell ref="A97:C97"/>
    <mergeCell ref="A98:C98"/>
    <mergeCell ref="A88:C88"/>
    <mergeCell ref="A89:C89"/>
    <mergeCell ref="A90:C90"/>
    <mergeCell ref="A91:C91"/>
    <mergeCell ref="A92:C92"/>
    <mergeCell ref="A82:C82"/>
    <mergeCell ref="A84:E84"/>
    <mergeCell ref="A85:C85"/>
    <mergeCell ref="A86:C86"/>
    <mergeCell ref="A87:C87"/>
    <mergeCell ref="A77:C77"/>
    <mergeCell ref="A78:C78"/>
    <mergeCell ref="A79:C79"/>
    <mergeCell ref="A80:C80"/>
    <mergeCell ref="A81:C81"/>
    <mergeCell ref="A72:E72"/>
    <mergeCell ref="A73:C73"/>
    <mergeCell ref="A74:C74"/>
    <mergeCell ref="A75:C75"/>
    <mergeCell ref="A76:C76"/>
    <mergeCell ref="A66:C66"/>
    <mergeCell ref="A67:C67"/>
    <mergeCell ref="A68:C68"/>
    <mergeCell ref="A69:C69"/>
    <mergeCell ref="A70:C70"/>
    <mergeCell ref="A57:E57"/>
    <mergeCell ref="A62:C62"/>
    <mergeCell ref="A63:C63"/>
    <mergeCell ref="A64:C64"/>
    <mergeCell ref="A65:C65"/>
    <mergeCell ref="A53:E53"/>
    <mergeCell ref="A52:E52"/>
    <mergeCell ref="A6:C6"/>
    <mergeCell ref="A7:C7"/>
    <mergeCell ref="A8:C8"/>
    <mergeCell ref="A9:C9"/>
    <mergeCell ref="A10:C10"/>
    <mergeCell ref="A11:C11"/>
    <mergeCell ref="A12:C12"/>
    <mergeCell ref="A13:C13"/>
    <mergeCell ref="A14:C14"/>
    <mergeCell ref="A21:C21"/>
    <mergeCell ref="A22:C22"/>
    <mergeCell ref="A23:C23"/>
    <mergeCell ref="A24:C24"/>
    <mergeCell ref="A25:C25"/>
    <mergeCell ref="A1:E1"/>
    <mergeCell ref="A16:E16"/>
    <mergeCell ref="A18:C18"/>
    <mergeCell ref="A19:C19"/>
    <mergeCell ref="A20:C20"/>
    <mergeCell ref="A26:C26"/>
    <mergeCell ref="A17:C17"/>
    <mergeCell ref="A28:E28"/>
    <mergeCell ref="A29:C29"/>
    <mergeCell ref="A30:C30"/>
    <mergeCell ref="A31:C31"/>
    <mergeCell ref="A32:C32"/>
    <mergeCell ref="A33:C33"/>
    <mergeCell ref="A34:C34"/>
    <mergeCell ref="A35:C35"/>
    <mergeCell ref="A36:C36"/>
    <mergeCell ref="A37:C37"/>
    <mergeCell ref="A38:C38"/>
    <mergeCell ref="A40:E40"/>
    <mergeCell ref="A41:C41"/>
    <mergeCell ref="A47:C47"/>
    <mergeCell ref="A48:C48"/>
    <mergeCell ref="A49:C49"/>
    <mergeCell ref="A50:C50"/>
    <mergeCell ref="A42:C42"/>
    <mergeCell ref="A43:C43"/>
    <mergeCell ref="A44:C44"/>
    <mergeCell ref="A45:C45"/>
    <mergeCell ref="A46:C4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selection activeCell="K19" sqref="K19"/>
    </sheetView>
  </sheetViews>
  <sheetFormatPr defaultRowHeight="15" x14ac:dyDescent="0.25"/>
  <cols>
    <col min="1" max="1" width="20.140625" bestFit="1" customWidth="1"/>
    <col min="2" max="2" width="14.28515625" bestFit="1" customWidth="1"/>
    <col min="3" max="6" width="18" bestFit="1" customWidth="1"/>
  </cols>
  <sheetData>
    <row r="1" spans="1:5" x14ac:dyDescent="0.25">
      <c r="A1" s="143"/>
      <c r="B1" s="143" t="s">
        <v>363</v>
      </c>
    </row>
    <row r="2" spans="1:5" x14ac:dyDescent="0.25">
      <c r="A2" s="143" t="s">
        <v>364</v>
      </c>
      <c r="B2" s="143">
        <f>'Cost Effectiveness'!D30</f>
        <v>36842542.708584838</v>
      </c>
    </row>
    <row r="3" spans="1:5" x14ac:dyDescent="0.25">
      <c r="A3" s="143" t="s">
        <v>365</v>
      </c>
      <c r="B3" s="143">
        <f>'Cost Effectiveness'!D42</f>
        <v>36842542.708584838</v>
      </c>
    </row>
    <row r="4" spans="1:5" x14ac:dyDescent="0.25">
      <c r="A4" s="143" t="s">
        <v>355</v>
      </c>
      <c r="B4" s="143">
        <f>SUM(B2:B3)</f>
        <v>73685085.417169675</v>
      </c>
    </row>
    <row r="5" spans="1:5" x14ac:dyDescent="0.25">
      <c r="A5" s="197"/>
      <c r="B5" s="197"/>
      <c r="C5" s="197"/>
      <c r="D5" s="197"/>
      <c r="E5" s="197"/>
    </row>
    <row r="6" spans="1:5" x14ac:dyDescent="0.25">
      <c r="A6" s="227" t="s">
        <v>361</v>
      </c>
      <c r="B6" s="228" t="s">
        <v>360</v>
      </c>
      <c r="C6" s="228" t="s">
        <v>359</v>
      </c>
      <c r="D6" s="228" t="s">
        <v>358</v>
      </c>
      <c r="E6" s="228" t="s">
        <v>357</v>
      </c>
    </row>
    <row r="7" spans="1:5" x14ac:dyDescent="0.25">
      <c r="A7" s="227" t="s">
        <v>356</v>
      </c>
      <c r="B7" s="228">
        <v>1.0960000000000001</v>
      </c>
      <c r="C7" s="228">
        <v>1.1779999999999999</v>
      </c>
      <c r="D7" s="228">
        <v>1.056</v>
      </c>
      <c r="E7" s="228">
        <v>1.0449999999999999</v>
      </c>
    </row>
    <row r="8" spans="1:5" x14ac:dyDescent="0.25">
      <c r="A8" s="150" t="s">
        <v>362</v>
      </c>
      <c r="B8" s="229">
        <f>B4/B7</f>
        <v>67230917.351432174</v>
      </c>
      <c r="C8" s="229">
        <f>B4/C7</f>
        <v>62551006.296408899</v>
      </c>
      <c r="D8" s="229">
        <f>B4/D7</f>
        <v>69777543.008683398</v>
      </c>
      <c r="E8" s="229">
        <f>B4/E7</f>
        <v>70512043.461406395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opLeftCell="A61" zoomScale="70" zoomScaleNormal="70" workbookViewId="0">
      <selection activeCell="C77" sqref="C77:C82"/>
    </sheetView>
  </sheetViews>
  <sheetFormatPr defaultColWidth="12" defaultRowHeight="15" x14ac:dyDescent="0.25"/>
  <cols>
    <col min="1" max="1" width="17.140625" style="24" customWidth="1"/>
    <col min="2" max="2" width="28.140625" style="24" customWidth="1"/>
    <col min="3" max="3" width="17.5703125" style="24" customWidth="1"/>
    <col min="4" max="4" width="14.85546875" style="27" customWidth="1"/>
    <col min="5" max="5" width="19.7109375" style="24" customWidth="1"/>
    <col min="6" max="6" width="52.140625" style="26" customWidth="1"/>
    <col min="7" max="7" width="33.28515625" style="26" customWidth="1"/>
    <col min="8" max="8" width="7.7109375" style="25" customWidth="1"/>
    <col min="9" max="9" width="14.28515625" style="24" customWidth="1"/>
    <col min="10" max="10" width="15" style="24" customWidth="1"/>
    <col min="11" max="11" width="7.140625" style="24" customWidth="1"/>
    <col min="12" max="12" width="6.85546875" style="24" customWidth="1"/>
    <col min="13" max="13" width="20.7109375" style="24" customWidth="1"/>
    <col min="14" max="14" width="12" style="24"/>
    <col min="15" max="15" width="15.28515625" style="24" customWidth="1"/>
    <col min="16" max="16384" width="12" style="24"/>
  </cols>
  <sheetData>
    <row r="1" spans="1:16" ht="15.75" thickTop="1" x14ac:dyDescent="0.25">
      <c r="B1" s="138" t="s">
        <v>230</v>
      </c>
      <c r="C1" s="137" t="s">
        <v>229</v>
      </c>
    </row>
    <row r="2" spans="1:16" ht="15.75" thickBot="1" x14ac:dyDescent="0.3">
      <c r="B2" s="136" t="s">
        <v>27</v>
      </c>
      <c r="C2" s="135">
        <v>1</v>
      </c>
    </row>
    <row r="3" spans="1:16" ht="16.5" thickTop="1" thickBot="1" x14ac:dyDescent="0.3">
      <c r="G3" s="134" t="s">
        <v>6</v>
      </c>
      <c r="H3" s="133"/>
      <c r="I3" s="288" t="s">
        <v>236</v>
      </c>
      <c r="J3" s="289"/>
      <c r="K3" s="290"/>
    </row>
    <row r="4" spans="1:16" s="125" customFormat="1" ht="16.5" thickTop="1" thickBot="1" x14ac:dyDescent="0.3">
      <c r="B4" s="132" t="s">
        <v>235</v>
      </c>
      <c r="C4" s="131" t="s">
        <v>234</v>
      </c>
      <c r="D4" s="131" t="s">
        <v>233</v>
      </c>
      <c r="E4" s="131" t="s">
        <v>232</v>
      </c>
      <c r="F4" s="130" t="s">
        <v>231</v>
      </c>
      <c r="G4" s="129"/>
      <c r="H4" s="128"/>
      <c r="I4" s="124" t="s">
        <v>230</v>
      </c>
      <c r="J4" s="127" t="s">
        <v>229</v>
      </c>
      <c r="K4" s="126" t="s">
        <v>228</v>
      </c>
      <c r="M4" s="291" t="s">
        <v>227</v>
      </c>
      <c r="N4" s="292"/>
      <c r="O4" s="292"/>
      <c r="P4" s="293"/>
    </row>
    <row r="5" spans="1:16" ht="45.75" thickTop="1" x14ac:dyDescent="0.25">
      <c r="B5" s="98" t="s">
        <v>226</v>
      </c>
      <c r="C5" s="86" t="s">
        <v>225</v>
      </c>
      <c r="D5" s="86" t="s">
        <v>224</v>
      </c>
      <c r="E5" s="85">
        <v>850</v>
      </c>
      <c r="F5" s="88" t="s">
        <v>223</v>
      </c>
      <c r="G5" s="79"/>
      <c r="I5" s="124" t="s">
        <v>28</v>
      </c>
      <c r="J5" s="123">
        <v>1</v>
      </c>
      <c r="K5" s="140">
        <v>850</v>
      </c>
      <c r="M5" s="122" t="s">
        <v>222</v>
      </c>
      <c r="N5" s="121" t="s">
        <v>180</v>
      </c>
      <c r="O5" s="120" t="s">
        <v>221</v>
      </c>
      <c r="P5" s="119"/>
    </row>
    <row r="6" spans="1:16" ht="15.75" thickBot="1" x14ac:dyDescent="0.3">
      <c r="B6" s="98" t="s">
        <v>220</v>
      </c>
      <c r="C6" s="86" t="s">
        <v>219</v>
      </c>
      <c r="D6" s="86"/>
      <c r="E6" s="85">
        <v>1</v>
      </c>
      <c r="F6" s="88" t="s">
        <v>218</v>
      </c>
      <c r="G6" s="79"/>
      <c r="I6" s="97"/>
      <c r="J6" s="96">
        <v>2</v>
      </c>
      <c r="K6" s="139">
        <v>850</v>
      </c>
      <c r="M6" s="118" t="s">
        <v>206</v>
      </c>
      <c r="N6" s="117" t="s">
        <v>217</v>
      </c>
      <c r="O6" s="117" t="s">
        <v>204</v>
      </c>
      <c r="P6" s="116" t="s">
        <v>216</v>
      </c>
    </row>
    <row r="7" spans="1:16" ht="15.75" thickTop="1" x14ac:dyDescent="0.25">
      <c r="B7" s="98" t="s">
        <v>215</v>
      </c>
      <c r="C7" s="86" t="s">
        <v>214</v>
      </c>
      <c r="D7" s="86" t="s">
        <v>213</v>
      </c>
      <c r="E7" s="115">
        <v>10769.985205917768</v>
      </c>
      <c r="F7" s="88" t="s">
        <v>212</v>
      </c>
      <c r="G7" s="79" t="s">
        <v>147</v>
      </c>
      <c r="I7" s="97" t="s">
        <v>27</v>
      </c>
      <c r="J7" s="96">
        <v>1</v>
      </c>
      <c r="K7" s="114">
        <v>850</v>
      </c>
    </row>
    <row r="8" spans="1:16" ht="30" x14ac:dyDescent="0.25">
      <c r="B8" s="98" t="s">
        <v>211</v>
      </c>
      <c r="C8" s="86" t="s">
        <v>210</v>
      </c>
      <c r="D8" s="86" t="s">
        <v>209</v>
      </c>
      <c r="E8" s="113">
        <v>2</v>
      </c>
      <c r="F8" s="88" t="s">
        <v>208</v>
      </c>
      <c r="G8" s="79" t="s">
        <v>207</v>
      </c>
      <c r="I8" s="97"/>
      <c r="J8" s="96">
        <v>2</v>
      </c>
      <c r="K8" s="112">
        <v>850</v>
      </c>
    </row>
    <row r="9" spans="1:16" x14ac:dyDescent="0.25">
      <c r="B9" s="98" t="s">
        <v>206</v>
      </c>
      <c r="C9" s="86" t="s">
        <v>205</v>
      </c>
      <c r="D9" s="86"/>
      <c r="E9" s="85" t="s">
        <v>204</v>
      </c>
      <c r="F9" s="88" t="s">
        <v>203</v>
      </c>
      <c r="G9" s="79"/>
      <c r="I9" s="97"/>
      <c r="J9" s="96"/>
      <c r="K9" s="95"/>
    </row>
    <row r="10" spans="1:16" ht="15.75" x14ac:dyDescent="0.25">
      <c r="A10" s="8" t="s">
        <v>237</v>
      </c>
      <c r="B10" s="98" t="s">
        <v>202</v>
      </c>
      <c r="C10" s="86" t="s">
        <v>201</v>
      </c>
      <c r="D10" s="86"/>
      <c r="E10" s="86">
        <f>IF(E9="BIT",1,IF(E9="PRB",1.05,IF(E9="LIG",1.07,"error")))</f>
        <v>1.05</v>
      </c>
      <c r="F10" s="99" t="s">
        <v>200</v>
      </c>
      <c r="G10" s="79"/>
      <c r="I10" s="97"/>
      <c r="J10" s="96"/>
      <c r="K10" s="95"/>
    </row>
    <row r="11" spans="1:16" x14ac:dyDescent="0.25">
      <c r="B11" s="98" t="s">
        <v>199</v>
      </c>
      <c r="C11" s="86" t="s">
        <v>198</v>
      </c>
      <c r="D11" s="86"/>
      <c r="E11" s="86">
        <f>E7/10000</f>
        <v>1.0769985205917769</v>
      </c>
      <c r="F11" s="99" t="s">
        <v>197</v>
      </c>
      <c r="G11" s="79"/>
      <c r="I11" s="97"/>
      <c r="J11" s="96"/>
      <c r="K11" s="95"/>
    </row>
    <row r="12" spans="1:16" x14ac:dyDescent="0.25">
      <c r="B12" s="98" t="s">
        <v>196</v>
      </c>
      <c r="C12" s="86" t="s">
        <v>195</v>
      </c>
      <c r="D12" s="86" t="s">
        <v>194</v>
      </c>
      <c r="E12" s="111">
        <f>E5*E7*1000</f>
        <v>9154487425.0301037</v>
      </c>
      <c r="F12" s="99" t="s">
        <v>193</v>
      </c>
      <c r="G12" s="79"/>
      <c r="I12" s="107"/>
      <c r="J12" s="106"/>
      <c r="K12" s="95"/>
    </row>
    <row r="13" spans="1:16" ht="63.75" customHeight="1" x14ac:dyDescent="0.35">
      <c r="B13" s="98" t="s">
        <v>192</v>
      </c>
      <c r="C13" s="86" t="s">
        <v>191</v>
      </c>
      <c r="D13" s="86" t="s">
        <v>152</v>
      </c>
      <c r="E13" s="110">
        <f>IF(0.05*E8&lt;0.06,(E8-0.06)/E8*100,95)</f>
        <v>95</v>
      </c>
      <c r="F13" s="109" t="s">
        <v>190</v>
      </c>
      <c r="G13" s="108" t="s">
        <v>189</v>
      </c>
      <c r="I13" s="107"/>
      <c r="J13" s="106"/>
      <c r="K13" s="95"/>
    </row>
    <row r="14" spans="1:16" ht="30.6" customHeight="1" x14ac:dyDescent="0.25">
      <c r="B14" s="98" t="s">
        <v>188</v>
      </c>
      <c r="C14" s="86" t="s">
        <v>187</v>
      </c>
      <c r="D14" s="86" t="s">
        <v>183</v>
      </c>
      <c r="E14" s="100">
        <f>(0.6702*(E8^2)+13.42*E8)*E5*E11/2000</f>
        <v>13.512389618841434</v>
      </c>
      <c r="F14" s="99" t="s">
        <v>186</v>
      </c>
      <c r="G14" s="79"/>
      <c r="I14" s="97"/>
      <c r="J14" s="96"/>
      <c r="K14" s="95"/>
    </row>
    <row r="15" spans="1:16" ht="31.15" customHeight="1" thickBot="1" x14ac:dyDescent="0.3">
      <c r="B15" s="98" t="s">
        <v>185</v>
      </c>
      <c r="C15" s="86" t="s">
        <v>184</v>
      </c>
      <c r="D15" s="86" t="s">
        <v>183</v>
      </c>
      <c r="E15" s="100">
        <f>(0.8016*(E8^2)+31.1917*E8)*E5*E11/2000</f>
        <v>30.022049965511972</v>
      </c>
      <c r="F15" s="99" t="s">
        <v>182</v>
      </c>
      <c r="G15" s="79"/>
      <c r="I15" s="105"/>
      <c r="J15" s="104"/>
      <c r="K15" s="95"/>
    </row>
    <row r="16" spans="1:16" ht="32.65" customHeight="1" thickTop="1" thickBot="1" x14ac:dyDescent="0.3">
      <c r="A16" s="103" t="s">
        <v>181</v>
      </c>
      <c r="B16" s="102" t="s">
        <v>180</v>
      </c>
      <c r="C16" s="86" t="s">
        <v>179</v>
      </c>
      <c r="D16" s="86" t="s">
        <v>152</v>
      </c>
      <c r="E16" s="101">
        <f>(0.000547*E8^2+0.00649*E8+1.3)*E10*E11</f>
        <v>1.4872556898461284</v>
      </c>
      <c r="F16" s="99" t="s">
        <v>178</v>
      </c>
      <c r="G16" s="79" t="s">
        <v>177</v>
      </c>
      <c r="I16" s="97"/>
      <c r="J16" s="96"/>
      <c r="K16" s="95"/>
    </row>
    <row r="17" spans="1:11" ht="15.75" thickTop="1" x14ac:dyDescent="0.25">
      <c r="B17" s="98" t="s">
        <v>176</v>
      </c>
      <c r="C17" s="86" t="s">
        <v>175</v>
      </c>
      <c r="D17" s="86" t="s">
        <v>174</v>
      </c>
      <c r="E17" s="100">
        <f>(0.04898*(E8^2)+0.5925*E8+55.11)*E5*E10*E11/1000</f>
        <v>54.300268760680069</v>
      </c>
      <c r="F17" s="99" t="s">
        <v>173</v>
      </c>
      <c r="G17" s="79"/>
      <c r="I17" s="97"/>
      <c r="J17" s="96"/>
      <c r="K17" s="95"/>
    </row>
    <row r="18" spans="1:11" ht="30" x14ac:dyDescent="0.25">
      <c r="B18" s="98" t="s">
        <v>172</v>
      </c>
      <c r="C18" s="86" t="s">
        <v>171</v>
      </c>
      <c r="D18" s="86" t="s">
        <v>168</v>
      </c>
      <c r="E18" s="85">
        <v>107</v>
      </c>
      <c r="F18" s="88" t="s">
        <v>158</v>
      </c>
      <c r="G18" s="79" t="s">
        <v>157</v>
      </c>
      <c r="I18" s="97"/>
      <c r="J18" s="96"/>
      <c r="K18" s="95"/>
    </row>
    <row r="19" spans="1:11" ht="30" x14ac:dyDescent="0.25">
      <c r="B19" s="98" t="s">
        <v>170</v>
      </c>
      <c r="C19" s="86" t="s">
        <v>169</v>
      </c>
      <c r="D19" s="86" t="s">
        <v>168</v>
      </c>
      <c r="E19" s="85">
        <v>8.58</v>
      </c>
      <c r="F19" s="88" t="s">
        <v>158</v>
      </c>
      <c r="G19" s="79" t="s">
        <v>157</v>
      </c>
      <c r="I19" s="97"/>
      <c r="J19" s="96"/>
      <c r="K19" s="95"/>
    </row>
    <row r="20" spans="1:11" ht="30" x14ac:dyDescent="0.25">
      <c r="B20" s="98" t="s">
        <v>167</v>
      </c>
      <c r="C20" s="86" t="s">
        <v>166</v>
      </c>
      <c r="D20" s="86" t="s">
        <v>165</v>
      </c>
      <c r="E20" s="85">
        <v>4.7E-2</v>
      </c>
      <c r="F20" s="88" t="s">
        <v>158</v>
      </c>
      <c r="G20" s="79" t="s">
        <v>157</v>
      </c>
      <c r="I20" s="97"/>
      <c r="J20" s="96"/>
      <c r="K20" s="95"/>
    </row>
    <row r="21" spans="1:11" ht="30" x14ac:dyDescent="0.25">
      <c r="B21" s="98" t="s">
        <v>164</v>
      </c>
      <c r="C21" s="86" t="s">
        <v>163</v>
      </c>
      <c r="D21" s="86" t="s">
        <v>162</v>
      </c>
      <c r="E21" s="85">
        <v>0.92</v>
      </c>
      <c r="F21" s="88" t="s">
        <v>158</v>
      </c>
      <c r="G21" s="79" t="s">
        <v>157</v>
      </c>
      <c r="I21" s="97"/>
      <c r="J21" s="96"/>
      <c r="K21" s="95"/>
    </row>
    <row r="22" spans="1:11" ht="31.15" customHeight="1" thickBot="1" x14ac:dyDescent="0.3">
      <c r="B22" s="94" t="s">
        <v>161</v>
      </c>
      <c r="C22" s="82" t="s">
        <v>160</v>
      </c>
      <c r="D22" s="82" t="s">
        <v>159</v>
      </c>
      <c r="E22" s="93">
        <v>40</v>
      </c>
      <c r="F22" s="88" t="s">
        <v>158</v>
      </c>
      <c r="G22" s="79" t="s">
        <v>157</v>
      </c>
      <c r="I22" s="92"/>
      <c r="J22" s="91"/>
      <c r="K22" s="90"/>
    </row>
    <row r="23" spans="1:11" ht="32.65" customHeight="1" thickTop="1" x14ac:dyDescent="0.25">
      <c r="B23" s="89" t="s">
        <v>156</v>
      </c>
      <c r="C23" s="86"/>
      <c r="D23" s="86" t="s">
        <v>155</v>
      </c>
      <c r="E23" s="85">
        <v>0</v>
      </c>
      <c r="F23" s="88" t="s">
        <v>154</v>
      </c>
      <c r="G23" s="170" t="s">
        <v>263</v>
      </c>
    </row>
    <row r="24" spans="1:11" ht="15.6" customHeight="1" x14ac:dyDescent="0.25">
      <c r="B24" s="87" t="s">
        <v>153</v>
      </c>
      <c r="C24" s="86"/>
      <c r="D24" s="86" t="s">
        <v>152</v>
      </c>
      <c r="E24" s="85">
        <v>7</v>
      </c>
      <c r="F24" s="84" t="s">
        <v>143</v>
      </c>
      <c r="G24" s="79"/>
    </row>
    <row r="25" spans="1:11" ht="15.6" customHeight="1" x14ac:dyDescent="0.25">
      <c r="B25" s="87" t="s">
        <v>151</v>
      </c>
      <c r="C25" s="86"/>
      <c r="D25" s="86" t="s">
        <v>150</v>
      </c>
      <c r="E25" s="85">
        <v>30</v>
      </c>
      <c r="F25" s="84" t="s">
        <v>143</v>
      </c>
      <c r="G25" s="79"/>
    </row>
    <row r="26" spans="1:11" ht="15.6" customHeight="1" x14ac:dyDescent="0.25">
      <c r="B26" s="83" t="s">
        <v>149</v>
      </c>
      <c r="C26" s="82"/>
      <c r="D26" s="82" t="s">
        <v>148</v>
      </c>
      <c r="E26" s="81">
        <v>6275922.1200000001</v>
      </c>
      <c r="F26" s="80" t="s">
        <v>143</v>
      </c>
      <c r="G26" s="79" t="s">
        <v>147</v>
      </c>
    </row>
    <row r="27" spans="1:11" s="72" customFormat="1" ht="27.75" customHeight="1" thickBot="1" x14ac:dyDescent="0.3">
      <c r="A27" s="52"/>
      <c r="B27" s="78" t="s">
        <v>146</v>
      </c>
      <c r="C27" s="77"/>
      <c r="D27" s="77" t="s">
        <v>145</v>
      </c>
      <c r="E27" s="76" t="s">
        <v>144</v>
      </c>
      <c r="F27" s="75" t="s">
        <v>143</v>
      </c>
      <c r="G27" s="74" t="s">
        <v>142</v>
      </c>
      <c r="H27" s="25"/>
      <c r="I27" s="73"/>
    </row>
    <row r="28" spans="1:11" s="66" customFormat="1" ht="15.75" thickTop="1" x14ac:dyDescent="0.25">
      <c r="A28" s="67"/>
      <c r="D28" s="71"/>
      <c r="E28" s="71"/>
      <c r="F28" s="70"/>
      <c r="G28" s="69"/>
      <c r="H28" s="68"/>
      <c r="I28" s="67"/>
    </row>
    <row r="29" spans="1:11" s="63" customFormat="1" x14ac:dyDescent="0.25">
      <c r="A29" s="64"/>
      <c r="B29" s="286"/>
      <c r="C29" s="287"/>
      <c r="D29" s="287"/>
      <c r="E29" s="287"/>
      <c r="F29" s="287"/>
      <c r="G29" s="65"/>
      <c r="H29" s="59"/>
      <c r="I29" s="64"/>
    </row>
    <row r="30" spans="1:11" s="57" customFormat="1" ht="15.75" thickBot="1" x14ac:dyDescent="0.3">
      <c r="A30" s="58"/>
      <c r="B30" s="62"/>
      <c r="C30" s="61"/>
      <c r="D30" s="61"/>
      <c r="E30" s="61"/>
      <c r="F30" s="61"/>
      <c r="G30" s="60"/>
      <c r="H30" s="59"/>
      <c r="I30" s="58"/>
    </row>
    <row r="31" spans="1:11" ht="15.75" thickTop="1" x14ac:dyDescent="0.25">
      <c r="A31" s="52"/>
      <c r="B31" s="56" t="s">
        <v>141</v>
      </c>
      <c r="C31" s="55"/>
      <c r="D31" s="294" t="s">
        <v>140</v>
      </c>
      <c r="E31" s="295"/>
      <c r="F31" s="296"/>
      <c r="G31" s="54" t="s">
        <v>6</v>
      </c>
      <c r="H31" s="53"/>
    </row>
    <row r="32" spans="1:11" ht="15.6" customHeight="1" x14ac:dyDescent="0.25">
      <c r="A32" s="52"/>
      <c r="B32" s="42"/>
      <c r="C32" s="41"/>
      <c r="D32" s="300" t="s">
        <v>139</v>
      </c>
      <c r="E32" s="298"/>
      <c r="F32" s="299"/>
      <c r="G32" s="34"/>
    </row>
    <row r="33" spans="2:7" s="24" customFormat="1" ht="15.6" customHeight="1" x14ac:dyDescent="0.25">
      <c r="B33" s="47" t="s">
        <v>138</v>
      </c>
      <c r="C33" s="51">
        <f>ROUND(IF(E5&gt;600, E5*98000, 600000*(E5^0.716))*E6*(E10*E11)^0.6*(E8/4)^0.01,-3)</f>
        <v>89059000</v>
      </c>
      <c r="D33" s="297" t="s">
        <v>137</v>
      </c>
      <c r="E33" s="298"/>
      <c r="F33" s="299"/>
      <c r="G33" s="34"/>
    </row>
    <row r="34" spans="2:7" s="24" customFormat="1" ht="15.6" customHeight="1" x14ac:dyDescent="0.25">
      <c r="B34" s="47" t="s">
        <v>136</v>
      </c>
      <c r="C34" s="51">
        <f>ROUND(IF(E5&gt;600, E5*52000, 320000*(E5^0.716))*E6*(E8*E11)^0.2,-3)</f>
        <v>51531000</v>
      </c>
      <c r="D34" s="297" t="s">
        <v>135</v>
      </c>
      <c r="E34" s="298"/>
      <c r="F34" s="299"/>
      <c r="G34" s="34"/>
    </row>
    <row r="35" spans="2:7" s="24" customFormat="1" ht="30.6" customHeight="1" x14ac:dyDescent="0.25">
      <c r="B35" s="47" t="s">
        <v>134</v>
      </c>
      <c r="C35" s="51">
        <f>ROUND(IF(E5&gt;600, E5*138000, 848000*(E5^0.716))*E6*(E10*E11)^0.4,-3)</f>
        <v>123214000</v>
      </c>
      <c r="D35" s="297" t="s">
        <v>133</v>
      </c>
      <c r="E35" s="298"/>
      <c r="F35" s="299"/>
      <c r="G35" s="34"/>
    </row>
    <row r="36" spans="2:7" s="24" customFormat="1" ht="48.6" customHeight="1" x14ac:dyDescent="0.25">
      <c r="B36" s="47" t="s">
        <v>132</v>
      </c>
      <c r="C36" s="51">
        <f>IF(E23&gt;500,C35*14.7/((101.29*((((15.04-0.00649*E23*0.3048)+273.1)/288.08)^5.256))*0.145038),C35)</f>
        <v>123214000</v>
      </c>
      <c r="D36" s="297" t="s">
        <v>131</v>
      </c>
      <c r="E36" s="298"/>
      <c r="F36" s="299"/>
      <c r="G36" s="34"/>
    </row>
    <row r="37" spans="2:7" s="24" customFormat="1" ht="75" x14ac:dyDescent="0.25">
      <c r="B37" s="45" t="s">
        <v>130</v>
      </c>
      <c r="C37" s="49">
        <f>ROUND(C33+C34+C36,-3)</f>
        <v>263804000</v>
      </c>
      <c r="D37" s="297" t="s">
        <v>129</v>
      </c>
      <c r="E37" s="298"/>
      <c r="F37" s="299"/>
      <c r="G37" s="34" t="s">
        <v>128</v>
      </c>
    </row>
    <row r="38" spans="2:7" s="24" customFormat="1" x14ac:dyDescent="0.25">
      <c r="B38" s="47" t="s">
        <v>127</v>
      </c>
      <c r="C38" s="51">
        <f>C37/(1000*$E$5)</f>
        <v>310.35764705882355</v>
      </c>
      <c r="D38" s="297" t="s">
        <v>126</v>
      </c>
      <c r="E38" s="298"/>
      <c r="F38" s="299"/>
      <c r="G38" s="34"/>
    </row>
    <row r="39" spans="2:7" s="24" customFormat="1" x14ac:dyDescent="0.25">
      <c r="B39" s="42"/>
      <c r="C39" s="41"/>
      <c r="D39" s="301"/>
      <c r="E39" s="298"/>
      <c r="F39" s="299"/>
      <c r="G39" s="34"/>
    </row>
    <row r="40" spans="2:7" s="24" customFormat="1" x14ac:dyDescent="0.25">
      <c r="B40" s="48" t="s">
        <v>125</v>
      </c>
      <c r="C40" s="41"/>
      <c r="D40" s="301"/>
      <c r="E40" s="298"/>
      <c r="F40" s="299"/>
      <c r="G40" s="34"/>
    </row>
    <row r="41" spans="2:7" s="24" customFormat="1" x14ac:dyDescent="0.25">
      <c r="B41" s="47" t="s">
        <v>124</v>
      </c>
      <c r="C41" s="51">
        <f>ROUND(0.1*C37,-3)</f>
        <v>26380000</v>
      </c>
      <c r="D41" s="297" t="s">
        <v>123</v>
      </c>
      <c r="E41" s="298"/>
      <c r="F41" s="299"/>
      <c r="G41" s="34"/>
    </row>
    <row r="42" spans="2:7" s="24" customFormat="1" x14ac:dyDescent="0.25">
      <c r="B42" s="47" t="s">
        <v>122</v>
      </c>
      <c r="C42" s="51">
        <f>ROUND(0.1*C37,-3)</f>
        <v>26380000</v>
      </c>
      <c r="D42" s="297" t="s">
        <v>121</v>
      </c>
      <c r="E42" s="298"/>
      <c r="F42" s="299"/>
      <c r="G42" s="34"/>
    </row>
    <row r="43" spans="2:7" s="24" customFormat="1" x14ac:dyDescent="0.25">
      <c r="B43" s="47" t="s">
        <v>120</v>
      </c>
      <c r="C43" s="51">
        <f>ROUND(0.1*C37,-3)</f>
        <v>26380000</v>
      </c>
      <c r="D43" s="297" t="s">
        <v>119</v>
      </c>
      <c r="E43" s="298"/>
      <c r="F43" s="299"/>
      <c r="G43" s="34"/>
    </row>
    <row r="44" spans="2:7" s="24" customFormat="1" x14ac:dyDescent="0.25">
      <c r="B44" s="47"/>
      <c r="C44" s="41"/>
      <c r="D44" s="301"/>
      <c r="E44" s="298"/>
      <c r="F44" s="299"/>
      <c r="G44" s="34"/>
    </row>
    <row r="45" spans="2:7" s="24" customFormat="1" x14ac:dyDescent="0.25">
      <c r="B45" s="45" t="s">
        <v>118</v>
      </c>
      <c r="C45" s="49">
        <f>ROUND(C37+C41+C42+C43,-3)</f>
        <v>342944000</v>
      </c>
      <c r="D45" s="297" t="s">
        <v>117</v>
      </c>
      <c r="E45" s="298"/>
      <c r="F45" s="299"/>
      <c r="G45" s="34" t="s">
        <v>114</v>
      </c>
    </row>
    <row r="46" spans="2:7" s="24" customFormat="1" x14ac:dyDescent="0.25">
      <c r="B46" s="45" t="s">
        <v>116</v>
      </c>
      <c r="C46" s="49">
        <f>C45/(1000*$E$5)</f>
        <v>403.46352941176468</v>
      </c>
      <c r="D46" s="297" t="s">
        <v>115</v>
      </c>
      <c r="E46" s="298"/>
      <c r="F46" s="299"/>
      <c r="G46" s="34" t="s">
        <v>114</v>
      </c>
    </row>
    <row r="47" spans="2:7" s="24" customFormat="1" x14ac:dyDescent="0.25">
      <c r="B47" s="47"/>
      <c r="C47" s="41"/>
      <c r="D47" s="301"/>
      <c r="E47" s="298"/>
      <c r="F47" s="299"/>
      <c r="G47" s="34"/>
    </row>
    <row r="48" spans="2:7" s="24" customFormat="1" ht="32.1" customHeight="1" x14ac:dyDescent="0.25">
      <c r="B48" s="47" t="s">
        <v>113</v>
      </c>
      <c r="C48" s="50">
        <f>ROUND(0.05*C45,-3)</f>
        <v>17147000</v>
      </c>
      <c r="D48" s="297" t="s">
        <v>112</v>
      </c>
      <c r="E48" s="298"/>
      <c r="F48" s="299"/>
      <c r="G48" s="34"/>
    </row>
    <row r="49" spans="2:8" x14ac:dyDescent="0.25">
      <c r="B49" s="47"/>
      <c r="C49" s="41"/>
      <c r="D49" s="301"/>
      <c r="E49" s="298"/>
      <c r="F49" s="299"/>
      <c r="G49" s="34"/>
    </row>
    <row r="50" spans="2:8" x14ac:dyDescent="0.25">
      <c r="B50" s="45" t="s">
        <v>111</v>
      </c>
      <c r="C50" s="49">
        <f>ROUND(C45+C48,-3)</f>
        <v>360091000</v>
      </c>
      <c r="D50" s="297" t="s">
        <v>110</v>
      </c>
      <c r="E50" s="298"/>
      <c r="F50" s="299"/>
      <c r="G50" s="34" t="s">
        <v>107</v>
      </c>
    </row>
    <row r="51" spans="2:8" x14ac:dyDescent="0.25">
      <c r="B51" s="45" t="s">
        <v>109</v>
      </c>
      <c r="C51" s="49">
        <f>C50/(1000*$E$5)</f>
        <v>423.63647058823528</v>
      </c>
      <c r="D51" s="297" t="s">
        <v>108</v>
      </c>
      <c r="E51" s="298"/>
      <c r="F51" s="299"/>
      <c r="G51" s="34" t="s">
        <v>107</v>
      </c>
    </row>
    <row r="52" spans="2:8" x14ac:dyDescent="0.25">
      <c r="B52" s="47"/>
      <c r="C52" s="41"/>
      <c r="D52" s="301"/>
      <c r="E52" s="298"/>
      <c r="F52" s="299"/>
      <c r="G52" s="34"/>
    </row>
    <row r="53" spans="2:8" x14ac:dyDescent="0.25">
      <c r="B53" s="47" t="s">
        <v>106</v>
      </c>
      <c r="C53" s="50">
        <f>ROUND(0.1*(C45+C48),-3)</f>
        <v>36009000</v>
      </c>
      <c r="D53" s="297" t="s">
        <v>105</v>
      </c>
      <c r="E53" s="298"/>
      <c r="F53" s="299"/>
      <c r="G53" s="34"/>
    </row>
    <row r="54" spans="2:8" x14ac:dyDescent="0.25">
      <c r="B54" s="47"/>
      <c r="C54" s="41"/>
      <c r="D54" s="301"/>
      <c r="E54" s="298"/>
      <c r="F54" s="299"/>
      <c r="G54" s="34"/>
    </row>
    <row r="55" spans="2:8" x14ac:dyDescent="0.25">
      <c r="B55" s="45" t="s">
        <v>104</v>
      </c>
      <c r="C55" s="49">
        <f>ROUND(C45+C48+C53,-3)</f>
        <v>396100000</v>
      </c>
      <c r="D55" s="297" t="s">
        <v>103</v>
      </c>
      <c r="E55" s="298"/>
      <c r="F55" s="299"/>
      <c r="G55" s="34" t="s">
        <v>100</v>
      </c>
    </row>
    <row r="56" spans="2:8" x14ac:dyDescent="0.25">
      <c r="B56" s="45" t="s">
        <v>102</v>
      </c>
      <c r="C56" s="49">
        <f>C55/(1000*$E$5)</f>
        <v>466</v>
      </c>
      <c r="D56" s="297" t="s">
        <v>101</v>
      </c>
      <c r="E56" s="298"/>
      <c r="F56" s="299"/>
      <c r="G56" s="34" t="s">
        <v>100</v>
      </c>
    </row>
    <row r="57" spans="2:8" s="29" customFormat="1" x14ac:dyDescent="0.25">
      <c r="B57" s="42"/>
      <c r="C57" s="41"/>
      <c r="D57" s="301"/>
      <c r="E57" s="298"/>
      <c r="F57" s="299"/>
      <c r="G57" s="34"/>
      <c r="H57" s="25"/>
    </row>
    <row r="58" spans="2:8" x14ac:dyDescent="0.25">
      <c r="B58" s="48" t="s">
        <v>99</v>
      </c>
      <c r="C58" s="41"/>
      <c r="D58" s="301"/>
      <c r="E58" s="298"/>
      <c r="F58" s="299"/>
      <c r="G58" s="34"/>
    </row>
    <row r="59" spans="2:8" x14ac:dyDescent="0.25">
      <c r="B59" s="42"/>
      <c r="C59" s="41"/>
      <c r="D59" s="301"/>
      <c r="E59" s="298"/>
      <c r="F59" s="299"/>
      <c r="G59" s="34"/>
    </row>
    <row r="60" spans="2:8" x14ac:dyDescent="0.25">
      <c r="B60" s="47" t="s">
        <v>98</v>
      </c>
      <c r="C60" s="46">
        <f>8*2080*E22/(E5*1000)</f>
        <v>0.78305882352941181</v>
      </c>
      <c r="D60" s="297" t="s">
        <v>97</v>
      </c>
      <c r="E60" s="298"/>
      <c r="F60" s="299"/>
      <c r="G60" s="34"/>
    </row>
    <row r="61" spans="2:8" x14ac:dyDescent="0.25">
      <c r="B61" s="47" t="s">
        <v>96</v>
      </c>
      <c r="C61" s="46">
        <f>C37*0.015/(E6*E5*1000)</f>
        <v>4.6553647058823531</v>
      </c>
      <c r="D61" s="297" t="s">
        <v>95</v>
      </c>
      <c r="E61" s="298"/>
      <c r="F61" s="299"/>
      <c r="G61" s="34"/>
    </row>
    <row r="62" spans="2:8" x14ac:dyDescent="0.25">
      <c r="B62" s="47" t="s">
        <v>94</v>
      </c>
      <c r="C62" s="46">
        <f>0.03*(C60+0.4*C61)</f>
        <v>7.9356141176470593E-2</v>
      </c>
      <c r="D62" s="297" t="s">
        <v>93</v>
      </c>
      <c r="E62" s="298"/>
      <c r="F62" s="299"/>
      <c r="G62" s="34"/>
    </row>
    <row r="63" spans="2:8" x14ac:dyDescent="0.25">
      <c r="B63" s="47"/>
      <c r="C63" s="46"/>
      <c r="D63" s="301"/>
      <c r="E63" s="298"/>
      <c r="F63" s="299"/>
      <c r="G63" s="34"/>
    </row>
    <row r="64" spans="2:8" x14ac:dyDescent="0.25">
      <c r="B64" s="45" t="s">
        <v>92</v>
      </c>
      <c r="C64" s="43">
        <f>SUM(C60:C62)</f>
        <v>5.5177796705882347</v>
      </c>
      <c r="D64" s="297" t="s">
        <v>91</v>
      </c>
      <c r="E64" s="298"/>
      <c r="F64" s="299"/>
      <c r="G64" s="34"/>
    </row>
    <row r="65" spans="1:8" s="29" customFormat="1" x14ac:dyDescent="0.25">
      <c r="B65" s="42"/>
      <c r="C65" s="46"/>
      <c r="D65" s="301"/>
      <c r="E65" s="298"/>
      <c r="F65" s="299"/>
      <c r="G65" s="34"/>
      <c r="H65" s="25"/>
    </row>
    <row r="66" spans="1:8" x14ac:dyDescent="0.25">
      <c r="B66" s="48" t="s">
        <v>90</v>
      </c>
      <c r="C66" s="46"/>
      <c r="D66" s="301"/>
      <c r="E66" s="298"/>
      <c r="F66" s="299"/>
      <c r="G66" s="34"/>
    </row>
    <row r="67" spans="1:8" x14ac:dyDescent="0.25">
      <c r="B67" s="42"/>
      <c r="C67" s="46"/>
      <c r="D67" s="301"/>
      <c r="E67" s="298"/>
      <c r="F67" s="299"/>
      <c r="G67" s="34"/>
    </row>
    <row r="68" spans="1:8" x14ac:dyDescent="0.25">
      <c r="B68" s="47" t="s">
        <v>89</v>
      </c>
      <c r="C68" s="46">
        <f>E14*E18/E5*E13/95</f>
        <v>1.7009713990776867</v>
      </c>
      <c r="D68" s="297" t="s">
        <v>88</v>
      </c>
      <c r="E68" s="298"/>
      <c r="F68" s="299"/>
      <c r="G68" s="34"/>
    </row>
    <row r="69" spans="1:8" x14ac:dyDescent="0.25">
      <c r="B69" s="47" t="s">
        <v>87</v>
      </c>
      <c r="C69" s="46">
        <f>E15*E19/E5*E13/95</f>
        <v>0.30304610435775609</v>
      </c>
      <c r="D69" s="297" t="s">
        <v>86</v>
      </c>
      <c r="E69" s="298"/>
      <c r="F69" s="299"/>
      <c r="G69" s="34"/>
    </row>
    <row r="70" spans="1:8" ht="75" x14ac:dyDescent="0.25">
      <c r="B70" s="47" t="s">
        <v>85</v>
      </c>
      <c r="C70" s="46">
        <f>IF(B16="Include Aux Power in VOM",E16*E20*10,"")</f>
        <v>0.69901017422768041</v>
      </c>
      <c r="D70" s="297" t="s">
        <v>84</v>
      </c>
      <c r="E70" s="298"/>
      <c r="F70" s="299"/>
      <c r="G70" s="34" t="s">
        <v>83</v>
      </c>
    </row>
    <row r="71" spans="1:8" x14ac:dyDescent="0.25">
      <c r="B71" s="47" t="s">
        <v>82</v>
      </c>
      <c r="C71" s="46">
        <f>E17*E21/E5</f>
        <v>5.8772055599794898E-2</v>
      </c>
      <c r="D71" s="297" t="s">
        <v>81</v>
      </c>
      <c r="E71" s="298"/>
      <c r="F71" s="299"/>
      <c r="G71" s="34"/>
    </row>
    <row r="72" spans="1:8" x14ac:dyDescent="0.25">
      <c r="B72" s="47"/>
      <c r="C72" s="46"/>
      <c r="D72" s="301"/>
      <c r="E72" s="298"/>
      <c r="F72" s="299"/>
      <c r="G72" s="34"/>
    </row>
    <row r="73" spans="1:8" x14ac:dyDescent="0.25">
      <c r="B73" s="45" t="s">
        <v>80</v>
      </c>
      <c r="C73" s="43">
        <f>SUM(C68:C71)</f>
        <v>2.7617997332629183</v>
      </c>
      <c r="D73" s="297" t="s">
        <v>79</v>
      </c>
      <c r="E73" s="298"/>
      <c r="F73" s="298"/>
      <c r="G73" s="34"/>
    </row>
    <row r="74" spans="1:8" s="29" customFormat="1" x14ac:dyDescent="0.25">
      <c r="B74" s="45"/>
      <c r="C74" s="43"/>
      <c r="D74" s="301"/>
      <c r="E74" s="298"/>
      <c r="F74" s="298"/>
      <c r="G74" s="34"/>
      <c r="H74" s="25"/>
    </row>
    <row r="75" spans="1:8" x14ac:dyDescent="0.25">
      <c r="B75" s="44" t="s">
        <v>78</v>
      </c>
      <c r="C75" s="43"/>
      <c r="D75" s="302"/>
      <c r="E75" s="298"/>
      <c r="F75" s="298"/>
      <c r="G75" s="34"/>
    </row>
    <row r="76" spans="1:8" x14ac:dyDescent="0.25">
      <c r="A76" s="29"/>
      <c r="B76" s="42"/>
      <c r="C76" s="41"/>
      <c r="D76" s="301"/>
      <c r="E76" s="298"/>
      <c r="F76" s="298"/>
      <c r="G76" s="34"/>
    </row>
    <row r="77" spans="1:8" ht="34.15" customHeight="1" x14ac:dyDescent="0.25">
      <c r="A77" s="29"/>
      <c r="B77" s="36" t="s">
        <v>77</v>
      </c>
      <c r="C77" s="39">
        <f>C45</f>
        <v>342944000</v>
      </c>
      <c r="D77" s="305" t="s">
        <v>76</v>
      </c>
      <c r="E77" s="298"/>
      <c r="F77" s="298"/>
      <c r="G77" s="34"/>
    </row>
    <row r="78" spans="1:8" x14ac:dyDescent="0.25">
      <c r="A78" s="29"/>
      <c r="B78" s="36" t="s">
        <v>75</v>
      </c>
      <c r="C78" s="40">
        <f>(E24/100*((1+E24/100)^30))/((1+E24/100)^E25-1)</f>
        <v>8.0586403511111196E-2</v>
      </c>
      <c r="D78" s="301"/>
      <c r="E78" s="298"/>
      <c r="F78" s="298"/>
      <c r="G78" s="34"/>
    </row>
    <row r="79" spans="1:8" x14ac:dyDescent="0.25">
      <c r="A79" s="29"/>
      <c r="B79" s="36" t="s">
        <v>74</v>
      </c>
      <c r="C79" s="39">
        <f>C78*C77</f>
        <v>27636623.565714519</v>
      </c>
      <c r="D79" s="301"/>
      <c r="E79" s="298"/>
      <c r="F79" s="298"/>
      <c r="G79" s="34"/>
    </row>
    <row r="80" spans="1:8" x14ac:dyDescent="0.25">
      <c r="A80" s="29"/>
      <c r="B80" s="36" t="s">
        <v>73</v>
      </c>
      <c r="C80" s="39">
        <f>C73*E26</f>
        <v>17332840.036994848</v>
      </c>
      <c r="D80" s="297" t="s">
        <v>72</v>
      </c>
      <c r="E80" s="298"/>
      <c r="F80" s="298"/>
      <c r="G80" s="34"/>
    </row>
    <row r="81" spans="1:7" s="24" customFormat="1" x14ac:dyDescent="0.25">
      <c r="A81" s="29"/>
      <c r="B81" s="36" t="s">
        <v>71</v>
      </c>
      <c r="C81" s="39">
        <f>C64*E26*1000/8760</f>
        <v>3953099.9415446366</v>
      </c>
      <c r="D81" s="297" t="s">
        <v>70</v>
      </c>
      <c r="E81" s="298"/>
      <c r="F81" s="298"/>
      <c r="G81" s="34"/>
    </row>
    <row r="82" spans="1:7" s="24" customFormat="1" x14ac:dyDescent="0.25">
      <c r="A82" s="29"/>
      <c r="B82" s="38" t="s">
        <v>69</v>
      </c>
      <c r="C82" s="37">
        <f>SUM(C79:C81)</f>
        <v>48922563.544254005</v>
      </c>
      <c r="D82" s="297"/>
      <c r="E82" s="298"/>
      <c r="F82" s="298"/>
      <c r="G82" s="34"/>
    </row>
    <row r="83" spans="1:7" s="24" customFormat="1" ht="32.65" customHeight="1" x14ac:dyDescent="0.25">
      <c r="A83" s="29"/>
      <c r="B83" s="36" t="s">
        <v>68</v>
      </c>
      <c r="C83" s="35" t="str">
        <f>IF(E27="N/A","N/A",E13/100*E27)</f>
        <v>N/A</v>
      </c>
      <c r="D83" s="297" t="s">
        <v>67</v>
      </c>
      <c r="E83" s="298"/>
      <c r="F83" s="298"/>
      <c r="G83" s="34"/>
    </row>
    <row r="84" spans="1:7" s="24" customFormat="1" ht="15.75" thickBot="1" x14ac:dyDescent="0.3">
      <c r="A84" s="29"/>
      <c r="B84" s="33" t="s">
        <v>66</v>
      </c>
      <c r="C84" s="32" t="str">
        <f>IF(C83="N/A","N/A",C82/C83)</f>
        <v>N/A</v>
      </c>
      <c r="D84" s="303"/>
      <c r="E84" s="304"/>
      <c r="F84" s="304"/>
      <c r="G84" s="31"/>
    </row>
    <row r="85" spans="1:7" s="24" customFormat="1" ht="15.75" thickTop="1" x14ac:dyDescent="0.25">
      <c r="A85" s="29"/>
      <c r="B85" s="29"/>
      <c r="C85" s="29"/>
      <c r="D85" s="30"/>
      <c r="E85" s="29"/>
      <c r="F85" s="28"/>
      <c r="G85" s="26"/>
    </row>
    <row r="86" spans="1:7" x14ac:dyDescent="0.25">
      <c r="C86" s="166">
        <f>SUM(C80:C81)</f>
        <v>21285939.978539485</v>
      </c>
    </row>
  </sheetData>
  <mergeCells count="57">
    <mergeCell ref="D84:F84"/>
    <mergeCell ref="D76:F76"/>
    <mergeCell ref="D77:F77"/>
    <mergeCell ref="D78:F78"/>
    <mergeCell ref="D79:F79"/>
    <mergeCell ref="D80:F80"/>
    <mergeCell ref="D83:F83"/>
    <mergeCell ref="D73:F73"/>
    <mergeCell ref="D74:F74"/>
    <mergeCell ref="D75:F75"/>
    <mergeCell ref="D81:F81"/>
    <mergeCell ref="D82:F82"/>
    <mergeCell ref="D72:F72"/>
    <mergeCell ref="D61:F61"/>
    <mergeCell ref="D62:F62"/>
    <mergeCell ref="D63:F63"/>
    <mergeCell ref="D64:F64"/>
    <mergeCell ref="D65:F65"/>
    <mergeCell ref="D66:F66"/>
    <mergeCell ref="D67:F67"/>
    <mergeCell ref="D68:F68"/>
    <mergeCell ref="D69:F69"/>
    <mergeCell ref="D70:F70"/>
    <mergeCell ref="D71:F71"/>
    <mergeCell ref="D58:F58"/>
    <mergeCell ref="D59:F59"/>
    <mergeCell ref="D60:F60"/>
    <mergeCell ref="D52:F52"/>
    <mergeCell ref="D53:F53"/>
    <mergeCell ref="D54:F54"/>
    <mergeCell ref="D55:F55"/>
    <mergeCell ref="D56:F56"/>
    <mergeCell ref="D57:F57"/>
    <mergeCell ref="D47:F47"/>
    <mergeCell ref="D48:F48"/>
    <mergeCell ref="D49:F49"/>
    <mergeCell ref="D50:F50"/>
    <mergeCell ref="D51:F51"/>
    <mergeCell ref="D44:F44"/>
    <mergeCell ref="D45:F45"/>
    <mergeCell ref="D46:F46"/>
    <mergeCell ref="D36:F36"/>
    <mergeCell ref="D37:F37"/>
    <mergeCell ref="D38:F38"/>
    <mergeCell ref="D41:F41"/>
    <mergeCell ref="D42:F42"/>
    <mergeCell ref="D39:F39"/>
    <mergeCell ref="D40:F40"/>
    <mergeCell ref="B29:F29"/>
    <mergeCell ref="I3:K3"/>
    <mergeCell ref="M4:P4"/>
    <mergeCell ref="D31:F31"/>
    <mergeCell ref="D43:F43"/>
    <mergeCell ref="D32:F32"/>
    <mergeCell ref="D33:F33"/>
    <mergeCell ref="D34:F34"/>
    <mergeCell ref="D35:F35"/>
  </mergeCells>
  <dataValidations count="5">
    <dataValidation type="list" allowBlank="1" showInputMessage="1" showErrorMessage="1" sqref="B2">
      <formula1>$I$5:$I$20</formula1>
    </dataValidation>
    <dataValidation type="list" operator="lessThanOrEqual" allowBlank="1" showInputMessage="1" showErrorMessage="1" error="Must be BIT, PRB, or LIG.  Click Cancel and try again" sqref="E9">
      <formula1>$N$6:$P$6</formula1>
    </dataValidation>
    <dataValidation type="decimal" operator="greaterThan" allowBlank="1" showInputMessage="1" showErrorMessage="1" error="Must be greater than 50 MW.  Click Cancel and try again" sqref="E5">
      <formula1>50</formula1>
    </dataValidation>
    <dataValidation type="decimal" operator="lessThanOrEqual" allowBlank="1" showInputMessage="1" showErrorMessage="1" error="Must be less than 3.0 Lbs/MMBtu.  Click Cancel and try again" sqref="E8">
      <formula1>3</formula1>
    </dataValidation>
    <dataValidation type="list" allowBlank="1" showInputMessage="1" showErrorMessage="1" error="Click Cancel and use one of the values in the drop down list " sqref="B16">
      <formula1>$N$5:$O$5</formula1>
    </dataValidation>
  </dataValidations>
  <pageMargins left="0.75" right="0.75" top="1" bottom="1" header="0.5" footer="0.5"/>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zoomScale="70" zoomScaleNormal="70" workbookViewId="0">
      <selection activeCell="E13" sqref="E13"/>
    </sheetView>
  </sheetViews>
  <sheetFormatPr defaultColWidth="12" defaultRowHeight="15" x14ac:dyDescent="0.25"/>
  <cols>
    <col min="1" max="1" width="17.140625" style="24" customWidth="1"/>
    <col min="2" max="2" width="28.140625" style="24" customWidth="1"/>
    <col min="3" max="3" width="17.5703125" style="24" customWidth="1"/>
    <col min="4" max="4" width="14.85546875" style="27" customWidth="1"/>
    <col min="5" max="5" width="19.7109375" style="24" customWidth="1"/>
    <col min="6" max="6" width="52.140625" style="26" customWidth="1"/>
    <col min="7" max="7" width="33.28515625" style="26" customWidth="1"/>
    <col min="8" max="8" width="7.7109375" style="25" customWidth="1"/>
    <col min="9" max="9" width="14.28515625" style="24" customWidth="1"/>
    <col min="10" max="10" width="15" style="24" customWidth="1"/>
    <col min="11" max="11" width="7.140625" style="24" customWidth="1"/>
    <col min="12" max="12" width="6.85546875" style="24" customWidth="1"/>
    <col min="13" max="13" width="20.7109375" style="24" customWidth="1"/>
    <col min="14" max="14" width="12" style="24"/>
    <col min="15" max="15" width="15.28515625" style="24" customWidth="1"/>
    <col min="16" max="16384" width="12" style="24"/>
  </cols>
  <sheetData>
    <row r="1" spans="1:16" ht="15.75" thickTop="1" x14ac:dyDescent="0.25">
      <c r="B1" s="138" t="s">
        <v>230</v>
      </c>
      <c r="C1" s="137" t="s">
        <v>229</v>
      </c>
    </row>
    <row r="2" spans="1:16" ht="15.75" thickBot="1" x14ac:dyDescent="0.3">
      <c r="B2" s="136" t="s">
        <v>27</v>
      </c>
      <c r="C2" s="135">
        <v>1</v>
      </c>
    </row>
    <row r="3" spans="1:16" ht="16.5" thickTop="1" thickBot="1" x14ac:dyDescent="0.3">
      <c r="G3" s="134" t="s">
        <v>6</v>
      </c>
      <c r="H3" s="133"/>
      <c r="I3" s="288" t="s">
        <v>236</v>
      </c>
      <c r="J3" s="289"/>
      <c r="K3" s="290"/>
    </row>
    <row r="4" spans="1:16" s="125" customFormat="1" ht="16.5" thickTop="1" thickBot="1" x14ac:dyDescent="0.3">
      <c r="B4" s="132" t="s">
        <v>235</v>
      </c>
      <c r="C4" s="131" t="s">
        <v>234</v>
      </c>
      <c r="D4" s="131" t="s">
        <v>233</v>
      </c>
      <c r="E4" s="131" t="s">
        <v>232</v>
      </c>
      <c r="F4" s="130" t="s">
        <v>231</v>
      </c>
      <c r="G4" s="129"/>
      <c r="H4" s="128"/>
      <c r="I4" s="124" t="s">
        <v>230</v>
      </c>
      <c r="J4" s="127" t="s">
        <v>229</v>
      </c>
      <c r="K4" s="126" t="s">
        <v>228</v>
      </c>
      <c r="M4" s="291" t="s">
        <v>227</v>
      </c>
      <c r="N4" s="292"/>
      <c r="O4" s="292"/>
      <c r="P4" s="293"/>
    </row>
    <row r="5" spans="1:16" ht="45.75" thickTop="1" x14ac:dyDescent="0.25">
      <c r="B5" s="98" t="s">
        <v>226</v>
      </c>
      <c r="C5" s="86" t="s">
        <v>225</v>
      </c>
      <c r="D5" s="86" t="s">
        <v>224</v>
      </c>
      <c r="E5" s="85">
        <v>850</v>
      </c>
      <c r="F5" s="88" t="s">
        <v>223</v>
      </c>
      <c r="G5" s="79"/>
      <c r="I5" s="124" t="s">
        <v>28</v>
      </c>
      <c r="J5" s="123">
        <v>1</v>
      </c>
      <c r="K5" s="140">
        <v>850</v>
      </c>
      <c r="M5" s="122" t="s">
        <v>222</v>
      </c>
      <c r="N5" s="121" t="s">
        <v>180</v>
      </c>
      <c r="O5" s="120" t="s">
        <v>221</v>
      </c>
      <c r="P5" s="119"/>
    </row>
    <row r="6" spans="1:16" ht="15.75" thickBot="1" x14ac:dyDescent="0.3">
      <c r="B6" s="98" t="s">
        <v>220</v>
      </c>
      <c r="C6" s="86" t="s">
        <v>219</v>
      </c>
      <c r="D6" s="86"/>
      <c r="E6" s="85">
        <v>1</v>
      </c>
      <c r="F6" s="88" t="s">
        <v>218</v>
      </c>
      <c r="G6" s="79"/>
      <c r="I6" s="97"/>
      <c r="J6" s="96">
        <v>2</v>
      </c>
      <c r="K6" s="139">
        <v>850</v>
      </c>
      <c r="M6" s="118" t="s">
        <v>206</v>
      </c>
      <c r="N6" s="117" t="s">
        <v>217</v>
      </c>
      <c r="O6" s="117" t="s">
        <v>204</v>
      </c>
      <c r="P6" s="116" t="s">
        <v>216</v>
      </c>
    </row>
    <row r="7" spans="1:16" ht="15.75" thickTop="1" x14ac:dyDescent="0.25">
      <c r="B7" s="98" t="s">
        <v>215</v>
      </c>
      <c r="C7" s="86" t="s">
        <v>214</v>
      </c>
      <c r="D7" s="86" t="s">
        <v>213</v>
      </c>
      <c r="E7" s="115">
        <v>10769.985205917768</v>
      </c>
      <c r="F7" s="88" t="s">
        <v>212</v>
      </c>
      <c r="G7" s="79" t="s">
        <v>147</v>
      </c>
      <c r="I7" s="97" t="s">
        <v>27</v>
      </c>
      <c r="J7" s="96">
        <v>1</v>
      </c>
      <c r="K7" s="114">
        <v>850</v>
      </c>
    </row>
    <row r="8" spans="1:16" ht="30" x14ac:dyDescent="0.25">
      <c r="B8" s="98" t="s">
        <v>211</v>
      </c>
      <c r="C8" s="86" t="s">
        <v>210</v>
      </c>
      <c r="D8" s="86" t="s">
        <v>209</v>
      </c>
      <c r="E8" s="113">
        <v>0.67875133282587119</v>
      </c>
      <c r="F8" s="88" t="s">
        <v>208</v>
      </c>
      <c r="G8" s="79" t="s">
        <v>207</v>
      </c>
      <c r="I8" s="97"/>
      <c r="J8" s="96">
        <v>2</v>
      </c>
      <c r="K8" s="112">
        <v>850</v>
      </c>
    </row>
    <row r="9" spans="1:16" x14ac:dyDescent="0.25">
      <c r="B9" s="98" t="s">
        <v>206</v>
      </c>
      <c r="C9" s="86" t="s">
        <v>205</v>
      </c>
      <c r="D9" s="86"/>
      <c r="E9" s="85" t="s">
        <v>204</v>
      </c>
      <c r="F9" s="88" t="s">
        <v>203</v>
      </c>
      <c r="G9" s="79"/>
      <c r="I9" s="97"/>
      <c r="J9" s="96"/>
      <c r="K9" s="95"/>
    </row>
    <row r="10" spans="1:16" ht="15.75" x14ac:dyDescent="0.25">
      <c r="A10" s="8" t="s">
        <v>237</v>
      </c>
      <c r="B10" s="98" t="s">
        <v>202</v>
      </c>
      <c r="C10" s="86" t="s">
        <v>201</v>
      </c>
      <c r="D10" s="86"/>
      <c r="E10" s="86">
        <f>IF(E9="BIT",1,IF(E9="PRB",1.05,IF(E9="LIG",1.07,"error")))</f>
        <v>1.05</v>
      </c>
      <c r="F10" s="99" t="s">
        <v>200</v>
      </c>
      <c r="G10" s="79"/>
      <c r="I10" s="97"/>
      <c r="J10" s="96"/>
      <c r="K10" s="95"/>
    </row>
    <row r="11" spans="1:16" x14ac:dyDescent="0.25">
      <c r="B11" s="98" t="s">
        <v>199</v>
      </c>
      <c r="C11" s="86" t="s">
        <v>198</v>
      </c>
      <c r="D11" s="86"/>
      <c r="E11" s="86">
        <f>E7/10000</f>
        <v>1.0769985205917769</v>
      </c>
      <c r="F11" s="99" t="s">
        <v>197</v>
      </c>
      <c r="G11" s="79"/>
      <c r="I11" s="97"/>
      <c r="J11" s="96"/>
      <c r="K11" s="95"/>
    </row>
    <row r="12" spans="1:16" x14ac:dyDescent="0.25">
      <c r="B12" s="98" t="s">
        <v>196</v>
      </c>
      <c r="C12" s="86" t="s">
        <v>195</v>
      </c>
      <c r="D12" s="86" t="s">
        <v>194</v>
      </c>
      <c r="E12" s="111">
        <f>E5*E7*1000</f>
        <v>9154487425.0301037</v>
      </c>
      <c r="F12" s="99" t="s">
        <v>193</v>
      </c>
      <c r="G12" s="79"/>
      <c r="I12" s="107"/>
      <c r="J12" s="106"/>
      <c r="K12" s="95"/>
    </row>
    <row r="13" spans="1:16" ht="63.75" customHeight="1" x14ac:dyDescent="0.35">
      <c r="B13" s="98" t="s">
        <v>192</v>
      </c>
      <c r="C13" s="86" t="s">
        <v>191</v>
      </c>
      <c r="D13" s="86" t="s">
        <v>152</v>
      </c>
      <c r="E13" s="110">
        <f>IF(0.05*E8&lt;0.06,(E8-0.06)/E8*100,95)</f>
        <v>91.160238352652684</v>
      </c>
      <c r="F13" s="109" t="s">
        <v>190</v>
      </c>
      <c r="G13" s="108" t="s">
        <v>189</v>
      </c>
      <c r="I13" s="107"/>
      <c r="J13" s="106"/>
      <c r="K13" s="95"/>
    </row>
    <row r="14" spans="1:16" ht="30.6" customHeight="1" x14ac:dyDescent="0.25">
      <c r="B14" s="98" t="s">
        <v>188</v>
      </c>
      <c r="C14" s="86" t="s">
        <v>187</v>
      </c>
      <c r="D14" s="86" t="s">
        <v>183</v>
      </c>
      <c r="E14" s="100">
        <f>(0.6702*(E8^2)+13.42*E8)*E5*E11/2000</f>
        <v>4.310667916096472</v>
      </c>
      <c r="F14" s="99" t="s">
        <v>186</v>
      </c>
      <c r="G14" s="79"/>
      <c r="I14" s="97"/>
      <c r="J14" s="96"/>
      <c r="K14" s="95"/>
    </row>
    <row r="15" spans="1:16" ht="31.15" customHeight="1" thickBot="1" x14ac:dyDescent="0.3">
      <c r="B15" s="98" t="s">
        <v>185</v>
      </c>
      <c r="C15" s="86" t="s">
        <v>184</v>
      </c>
      <c r="D15" s="86" t="s">
        <v>183</v>
      </c>
      <c r="E15" s="100">
        <f>(0.8016*(E8^2)+31.1917*E8)*E5*E11/2000</f>
        <v>9.8597069207704759</v>
      </c>
      <c r="F15" s="99" t="s">
        <v>182</v>
      </c>
      <c r="G15" s="79"/>
      <c r="I15" s="105"/>
      <c r="J15" s="104"/>
      <c r="K15" s="95"/>
    </row>
    <row r="16" spans="1:16" ht="32.65" customHeight="1" thickTop="1" thickBot="1" x14ac:dyDescent="0.3">
      <c r="A16" s="103" t="s">
        <v>181</v>
      </c>
      <c r="B16" s="102" t="s">
        <v>180</v>
      </c>
      <c r="C16" s="86" t="s">
        <v>179</v>
      </c>
      <c r="D16" s="86" t="s">
        <v>152</v>
      </c>
      <c r="E16" s="101">
        <f>(0.000547*E8^2+0.00649*E8+1.3)*E10*E11</f>
        <v>1.4753694559199912</v>
      </c>
      <c r="F16" s="99" t="s">
        <v>178</v>
      </c>
      <c r="G16" s="79" t="s">
        <v>177</v>
      </c>
      <c r="I16" s="97"/>
      <c r="J16" s="96"/>
      <c r="K16" s="95"/>
    </row>
    <row r="17" spans="1:11" ht="15.75" thickTop="1" x14ac:dyDescent="0.25">
      <c r="B17" s="98" t="s">
        <v>176</v>
      </c>
      <c r="C17" s="86" t="s">
        <v>175</v>
      </c>
      <c r="D17" s="86" t="s">
        <v>174</v>
      </c>
      <c r="E17" s="100">
        <f>(0.04898*(E8^2)+0.5925*E8+55.11)*E5*E10*E11/1000</f>
        <v>53.381154274550042</v>
      </c>
      <c r="F17" s="99" t="s">
        <v>173</v>
      </c>
      <c r="G17" s="79"/>
      <c r="I17" s="97"/>
      <c r="J17" s="96"/>
      <c r="K17" s="95"/>
    </row>
    <row r="18" spans="1:11" ht="30" x14ac:dyDescent="0.25">
      <c r="B18" s="98" t="s">
        <v>172</v>
      </c>
      <c r="C18" s="86" t="s">
        <v>171</v>
      </c>
      <c r="D18" s="86" t="s">
        <v>168</v>
      </c>
      <c r="E18" s="85">
        <v>107</v>
      </c>
      <c r="F18" s="88" t="s">
        <v>158</v>
      </c>
      <c r="G18" s="79" t="s">
        <v>157</v>
      </c>
      <c r="I18" s="97"/>
      <c r="J18" s="96"/>
      <c r="K18" s="95"/>
    </row>
    <row r="19" spans="1:11" ht="30" x14ac:dyDescent="0.25">
      <c r="B19" s="98" t="s">
        <v>170</v>
      </c>
      <c r="C19" s="86" t="s">
        <v>169</v>
      </c>
      <c r="D19" s="86" t="s">
        <v>168</v>
      </c>
      <c r="E19" s="85">
        <v>8.58</v>
      </c>
      <c r="F19" s="88" t="s">
        <v>158</v>
      </c>
      <c r="G19" s="79" t="s">
        <v>157</v>
      </c>
      <c r="I19" s="97"/>
      <c r="J19" s="96"/>
      <c r="K19" s="95"/>
    </row>
    <row r="20" spans="1:11" ht="30" x14ac:dyDescent="0.25">
      <c r="B20" s="98" t="s">
        <v>167</v>
      </c>
      <c r="C20" s="86" t="s">
        <v>166</v>
      </c>
      <c r="D20" s="86" t="s">
        <v>165</v>
      </c>
      <c r="E20" s="85">
        <v>4.7E-2</v>
      </c>
      <c r="F20" s="88" t="s">
        <v>158</v>
      </c>
      <c r="G20" s="79" t="s">
        <v>157</v>
      </c>
      <c r="I20" s="97"/>
      <c r="J20" s="96"/>
      <c r="K20" s="95"/>
    </row>
    <row r="21" spans="1:11" ht="30" x14ac:dyDescent="0.25">
      <c r="B21" s="98" t="s">
        <v>164</v>
      </c>
      <c r="C21" s="86" t="s">
        <v>163</v>
      </c>
      <c r="D21" s="86" t="s">
        <v>162</v>
      </c>
      <c r="E21" s="85">
        <v>0.92</v>
      </c>
      <c r="F21" s="88" t="s">
        <v>158</v>
      </c>
      <c r="G21" s="79" t="s">
        <v>157</v>
      </c>
      <c r="I21" s="97"/>
      <c r="J21" s="96"/>
      <c r="K21" s="95"/>
    </row>
    <row r="22" spans="1:11" ht="31.15" customHeight="1" thickBot="1" x14ac:dyDescent="0.3">
      <c r="B22" s="94" t="s">
        <v>161</v>
      </c>
      <c r="C22" s="82" t="s">
        <v>160</v>
      </c>
      <c r="D22" s="82" t="s">
        <v>159</v>
      </c>
      <c r="E22" s="93">
        <v>40</v>
      </c>
      <c r="F22" s="88" t="s">
        <v>158</v>
      </c>
      <c r="G22" s="79" t="s">
        <v>157</v>
      </c>
      <c r="I22" s="92"/>
      <c r="J22" s="91"/>
      <c r="K22" s="90"/>
    </row>
    <row r="23" spans="1:11" ht="32.65" customHeight="1" thickTop="1" x14ac:dyDescent="0.25">
      <c r="B23" s="89" t="s">
        <v>156</v>
      </c>
      <c r="C23" s="86"/>
      <c r="D23" s="86" t="s">
        <v>155</v>
      </c>
      <c r="E23" s="85">
        <v>0</v>
      </c>
      <c r="F23" s="88" t="s">
        <v>154</v>
      </c>
      <c r="G23" s="170" t="s">
        <v>263</v>
      </c>
    </row>
    <row r="24" spans="1:11" ht="15.6" customHeight="1" x14ac:dyDescent="0.25">
      <c r="B24" s="87" t="s">
        <v>153</v>
      </c>
      <c r="C24" s="86"/>
      <c r="D24" s="86" t="s">
        <v>152</v>
      </c>
      <c r="E24" s="85">
        <v>7</v>
      </c>
      <c r="F24" s="84" t="s">
        <v>143</v>
      </c>
      <c r="G24" s="79"/>
    </row>
    <row r="25" spans="1:11" ht="15.6" customHeight="1" x14ac:dyDescent="0.25">
      <c r="B25" s="87" t="s">
        <v>151</v>
      </c>
      <c r="C25" s="86"/>
      <c r="D25" s="86" t="s">
        <v>150</v>
      </c>
      <c r="E25" s="85">
        <v>30</v>
      </c>
      <c r="F25" s="84" t="s">
        <v>143</v>
      </c>
      <c r="G25" s="79"/>
    </row>
    <row r="26" spans="1:11" ht="15.6" customHeight="1" x14ac:dyDescent="0.25">
      <c r="B26" s="83" t="s">
        <v>149</v>
      </c>
      <c r="C26" s="82"/>
      <c r="D26" s="82" t="s">
        <v>148</v>
      </c>
      <c r="E26" s="81">
        <v>6275922.1200000001</v>
      </c>
      <c r="F26" s="80" t="s">
        <v>143</v>
      </c>
      <c r="G26" s="79" t="s">
        <v>147</v>
      </c>
    </row>
    <row r="27" spans="1:11" s="72" customFormat="1" ht="27.75" customHeight="1" thickBot="1" x14ac:dyDescent="0.3">
      <c r="A27" s="52"/>
      <c r="B27" s="78" t="s">
        <v>146</v>
      </c>
      <c r="C27" s="77"/>
      <c r="D27" s="77" t="s">
        <v>145</v>
      </c>
      <c r="E27" s="76" t="s">
        <v>144</v>
      </c>
      <c r="F27" s="75" t="s">
        <v>143</v>
      </c>
      <c r="G27" s="157" t="s">
        <v>142</v>
      </c>
      <c r="H27" s="25"/>
      <c r="I27" s="73"/>
    </row>
    <row r="28" spans="1:11" s="66" customFormat="1" ht="15.75" thickTop="1" x14ac:dyDescent="0.25">
      <c r="A28" s="67"/>
      <c r="D28" s="71"/>
      <c r="E28" s="71"/>
      <c r="F28" s="70"/>
      <c r="G28" s="69"/>
      <c r="H28" s="68"/>
      <c r="I28" s="67"/>
    </row>
    <row r="29" spans="1:11" s="63" customFormat="1" x14ac:dyDescent="0.25">
      <c r="A29" s="64"/>
      <c r="B29" s="286"/>
      <c r="C29" s="287"/>
      <c r="D29" s="287"/>
      <c r="E29" s="287"/>
      <c r="F29" s="287"/>
      <c r="G29" s="65"/>
      <c r="H29" s="59"/>
      <c r="I29" s="64"/>
    </row>
    <row r="30" spans="1:11" s="57" customFormat="1" ht="15.75" thickBot="1" x14ac:dyDescent="0.3">
      <c r="A30" s="58"/>
      <c r="B30" s="62"/>
      <c r="C30" s="61"/>
      <c r="D30" s="61"/>
      <c r="E30" s="61"/>
      <c r="F30" s="61"/>
      <c r="G30" s="60"/>
      <c r="H30" s="59"/>
      <c r="I30" s="58"/>
    </row>
    <row r="31" spans="1:11" ht="15.75" thickTop="1" x14ac:dyDescent="0.25">
      <c r="A31" s="52"/>
      <c r="B31" s="56" t="s">
        <v>141</v>
      </c>
      <c r="C31" s="55"/>
      <c r="D31" s="294" t="s">
        <v>140</v>
      </c>
      <c r="E31" s="295"/>
      <c r="F31" s="296"/>
      <c r="G31" s="54" t="s">
        <v>6</v>
      </c>
      <c r="H31" s="53"/>
    </row>
    <row r="32" spans="1:11" ht="15.6" customHeight="1" x14ac:dyDescent="0.25">
      <c r="A32" s="52"/>
      <c r="B32" s="42"/>
      <c r="C32" s="41"/>
      <c r="D32" s="300" t="s">
        <v>139</v>
      </c>
      <c r="E32" s="298"/>
      <c r="F32" s="299"/>
      <c r="G32" s="34"/>
    </row>
    <row r="33" spans="2:7" s="24" customFormat="1" ht="15.6" customHeight="1" x14ac:dyDescent="0.25">
      <c r="B33" s="47" t="s">
        <v>138</v>
      </c>
      <c r="C33" s="51">
        <f>ROUND(IF(E5&gt;600, E5*98000, 600000*(E5^0.716))*E6*(E10*E11)^0.6*(E8/4)^0.01,-3)</f>
        <v>88102000</v>
      </c>
      <c r="D33" s="297" t="s">
        <v>137</v>
      </c>
      <c r="E33" s="298"/>
      <c r="F33" s="299"/>
      <c r="G33" s="34"/>
    </row>
    <row r="34" spans="2:7" s="24" customFormat="1" ht="15.6" customHeight="1" x14ac:dyDescent="0.25">
      <c r="B34" s="47" t="s">
        <v>136</v>
      </c>
      <c r="C34" s="51">
        <f>ROUND(IF(E5&gt;600, E5*52000, 320000*(E5^0.716))*E6*(E8*E11)^0.2,-3)</f>
        <v>41515000</v>
      </c>
      <c r="D34" s="297" t="s">
        <v>135</v>
      </c>
      <c r="E34" s="298"/>
      <c r="F34" s="299"/>
      <c r="G34" s="34"/>
    </row>
    <row r="35" spans="2:7" s="24" customFormat="1" ht="30.6" customHeight="1" x14ac:dyDescent="0.25">
      <c r="B35" s="47" t="s">
        <v>134</v>
      </c>
      <c r="C35" s="51">
        <f>ROUND(IF(E5&gt;600, E5*138000, 848000*(E5^0.716))*E6*(E10*E11)^0.4,-3)</f>
        <v>123214000</v>
      </c>
      <c r="D35" s="297" t="s">
        <v>133</v>
      </c>
      <c r="E35" s="298"/>
      <c r="F35" s="299"/>
      <c r="G35" s="34"/>
    </row>
    <row r="36" spans="2:7" s="24" customFormat="1" ht="48.6" customHeight="1" x14ac:dyDescent="0.25">
      <c r="B36" s="47" t="s">
        <v>132</v>
      </c>
      <c r="C36" s="51">
        <f>IF(E23&gt;500,C35*14.7/((101.29*((((15.04-0.00649*E23*0.3048)+273.1)/288.08)^5.256))*0.145038),C35)</f>
        <v>123214000</v>
      </c>
      <c r="D36" s="297" t="s">
        <v>131</v>
      </c>
      <c r="E36" s="298"/>
      <c r="F36" s="299"/>
      <c r="G36" s="34"/>
    </row>
    <row r="37" spans="2:7" s="24" customFormat="1" ht="75" x14ac:dyDescent="0.25">
      <c r="B37" s="45" t="s">
        <v>130</v>
      </c>
      <c r="C37" s="49">
        <f>ROUND(C33+C34+C36,-3)</f>
        <v>252831000</v>
      </c>
      <c r="D37" s="297" t="s">
        <v>129</v>
      </c>
      <c r="E37" s="298"/>
      <c r="F37" s="299"/>
      <c r="G37" s="34" t="s">
        <v>128</v>
      </c>
    </row>
    <row r="38" spans="2:7" s="24" customFormat="1" x14ac:dyDescent="0.25">
      <c r="B38" s="47" t="s">
        <v>127</v>
      </c>
      <c r="C38" s="51">
        <f>C37/(1000*$E$5)</f>
        <v>297.44823529411764</v>
      </c>
      <c r="D38" s="297" t="s">
        <v>126</v>
      </c>
      <c r="E38" s="298"/>
      <c r="F38" s="299"/>
      <c r="G38" s="34"/>
    </row>
    <row r="39" spans="2:7" s="24" customFormat="1" x14ac:dyDescent="0.25">
      <c r="B39" s="42"/>
      <c r="C39" s="41"/>
      <c r="D39" s="301"/>
      <c r="E39" s="298"/>
      <c r="F39" s="299"/>
      <c r="G39" s="34"/>
    </row>
    <row r="40" spans="2:7" s="24" customFormat="1" x14ac:dyDescent="0.25">
      <c r="B40" s="48" t="s">
        <v>125</v>
      </c>
      <c r="C40" s="41"/>
      <c r="D40" s="301"/>
      <c r="E40" s="298"/>
      <c r="F40" s="299"/>
      <c r="G40" s="34"/>
    </row>
    <row r="41" spans="2:7" s="24" customFormat="1" x14ac:dyDescent="0.25">
      <c r="B41" s="47" t="s">
        <v>124</v>
      </c>
      <c r="C41" s="51">
        <f>ROUND(0.1*C37,-3)</f>
        <v>25283000</v>
      </c>
      <c r="D41" s="297" t="s">
        <v>123</v>
      </c>
      <c r="E41" s="298"/>
      <c r="F41" s="299"/>
      <c r="G41" s="34"/>
    </row>
    <row r="42" spans="2:7" s="24" customFormat="1" x14ac:dyDescent="0.25">
      <c r="B42" s="47" t="s">
        <v>122</v>
      </c>
      <c r="C42" s="51">
        <f>ROUND(0.1*C37,-3)</f>
        <v>25283000</v>
      </c>
      <c r="D42" s="297" t="s">
        <v>121</v>
      </c>
      <c r="E42" s="298"/>
      <c r="F42" s="299"/>
      <c r="G42" s="34"/>
    </row>
    <row r="43" spans="2:7" s="24" customFormat="1" x14ac:dyDescent="0.25">
      <c r="B43" s="47" t="s">
        <v>120</v>
      </c>
      <c r="C43" s="51">
        <f>ROUND(0.1*C37,-3)</f>
        <v>25283000</v>
      </c>
      <c r="D43" s="297" t="s">
        <v>119</v>
      </c>
      <c r="E43" s="298"/>
      <c r="F43" s="299"/>
      <c r="G43" s="34"/>
    </row>
    <row r="44" spans="2:7" s="24" customFormat="1" x14ac:dyDescent="0.25">
      <c r="B44" s="47"/>
      <c r="C44" s="41"/>
      <c r="D44" s="301"/>
      <c r="E44" s="298"/>
      <c r="F44" s="299"/>
      <c r="G44" s="34"/>
    </row>
    <row r="45" spans="2:7" s="24" customFormat="1" x14ac:dyDescent="0.25">
      <c r="B45" s="45" t="s">
        <v>118</v>
      </c>
      <c r="C45" s="49">
        <f>ROUND(C37+C41+C42+C43,-3)</f>
        <v>328680000</v>
      </c>
      <c r="D45" s="297" t="s">
        <v>117</v>
      </c>
      <c r="E45" s="298"/>
      <c r="F45" s="299"/>
      <c r="G45" s="34" t="s">
        <v>114</v>
      </c>
    </row>
    <row r="46" spans="2:7" s="24" customFormat="1" x14ac:dyDescent="0.25">
      <c r="B46" s="45" t="s">
        <v>116</v>
      </c>
      <c r="C46" s="49">
        <f>C45/(1000*$E$5)</f>
        <v>386.68235294117648</v>
      </c>
      <c r="D46" s="297" t="s">
        <v>115</v>
      </c>
      <c r="E46" s="298"/>
      <c r="F46" s="299"/>
      <c r="G46" s="34" t="s">
        <v>114</v>
      </c>
    </row>
    <row r="47" spans="2:7" s="24" customFormat="1" x14ac:dyDescent="0.25">
      <c r="B47" s="47"/>
      <c r="C47" s="41"/>
      <c r="D47" s="301"/>
      <c r="E47" s="298"/>
      <c r="F47" s="299"/>
      <c r="G47" s="34"/>
    </row>
    <row r="48" spans="2:7" s="24" customFormat="1" ht="32.1" customHeight="1" x14ac:dyDescent="0.25">
      <c r="B48" s="47" t="s">
        <v>113</v>
      </c>
      <c r="C48" s="50">
        <f>ROUND(0.05*C45,-3)</f>
        <v>16434000</v>
      </c>
      <c r="D48" s="297" t="s">
        <v>112</v>
      </c>
      <c r="E48" s="298"/>
      <c r="F48" s="299"/>
      <c r="G48" s="34"/>
    </row>
    <row r="49" spans="2:8" x14ac:dyDescent="0.25">
      <c r="B49" s="47"/>
      <c r="C49" s="41"/>
      <c r="D49" s="301"/>
      <c r="E49" s="298"/>
      <c r="F49" s="299"/>
      <c r="G49" s="34"/>
    </row>
    <row r="50" spans="2:8" x14ac:dyDescent="0.25">
      <c r="B50" s="45" t="s">
        <v>111</v>
      </c>
      <c r="C50" s="49">
        <f>ROUND(C45+C48,-3)</f>
        <v>345114000</v>
      </c>
      <c r="D50" s="297" t="s">
        <v>110</v>
      </c>
      <c r="E50" s="298"/>
      <c r="F50" s="299"/>
      <c r="G50" s="34" t="s">
        <v>107</v>
      </c>
    </row>
    <row r="51" spans="2:8" x14ac:dyDescent="0.25">
      <c r="B51" s="45" t="s">
        <v>109</v>
      </c>
      <c r="C51" s="49">
        <f>C50/(1000*$E$5)</f>
        <v>406.01647058823528</v>
      </c>
      <c r="D51" s="297" t="s">
        <v>108</v>
      </c>
      <c r="E51" s="298"/>
      <c r="F51" s="299"/>
      <c r="G51" s="34" t="s">
        <v>107</v>
      </c>
    </row>
    <row r="52" spans="2:8" x14ac:dyDescent="0.25">
      <c r="B52" s="47"/>
      <c r="C52" s="41"/>
      <c r="D52" s="301"/>
      <c r="E52" s="298"/>
      <c r="F52" s="299"/>
      <c r="G52" s="34"/>
    </row>
    <row r="53" spans="2:8" x14ac:dyDescent="0.25">
      <c r="B53" s="47" t="s">
        <v>106</v>
      </c>
      <c r="C53" s="50">
        <f>ROUND(0.1*(C45+C48),-3)</f>
        <v>34511000</v>
      </c>
      <c r="D53" s="297" t="s">
        <v>105</v>
      </c>
      <c r="E53" s="298"/>
      <c r="F53" s="299"/>
      <c r="G53" s="34"/>
    </row>
    <row r="54" spans="2:8" x14ac:dyDescent="0.25">
      <c r="B54" s="47"/>
      <c r="C54" s="41"/>
      <c r="D54" s="301"/>
      <c r="E54" s="298"/>
      <c r="F54" s="299"/>
      <c r="G54" s="34"/>
    </row>
    <row r="55" spans="2:8" x14ac:dyDescent="0.25">
      <c r="B55" s="45" t="s">
        <v>104</v>
      </c>
      <c r="C55" s="49">
        <f>ROUND(C45+C48+C53,-3)</f>
        <v>379625000</v>
      </c>
      <c r="D55" s="297" t="s">
        <v>103</v>
      </c>
      <c r="E55" s="298"/>
      <c r="F55" s="299"/>
      <c r="G55" s="34" t="s">
        <v>100</v>
      </c>
    </row>
    <row r="56" spans="2:8" x14ac:dyDescent="0.25">
      <c r="B56" s="45" t="s">
        <v>102</v>
      </c>
      <c r="C56" s="49">
        <f>C55/(1000*$E$5)</f>
        <v>446.61764705882354</v>
      </c>
      <c r="D56" s="297" t="s">
        <v>101</v>
      </c>
      <c r="E56" s="298"/>
      <c r="F56" s="299"/>
      <c r="G56" s="34" t="s">
        <v>100</v>
      </c>
    </row>
    <row r="57" spans="2:8" s="29" customFormat="1" x14ac:dyDescent="0.25">
      <c r="B57" s="42"/>
      <c r="C57" s="41"/>
      <c r="D57" s="301"/>
      <c r="E57" s="298"/>
      <c r="F57" s="299"/>
      <c r="G57" s="34"/>
      <c r="H57" s="25"/>
    </row>
    <row r="58" spans="2:8" x14ac:dyDescent="0.25">
      <c r="B58" s="48" t="s">
        <v>99</v>
      </c>
      <c r="C58" s="41"/>
      <c r="D58" s="301"/>
      <c r="E58" s="298"/>
      <c r="F58" s="299"/>
      <c r="G58" s="34"/>
    </row>
    <row r="59" spans="2:8" x14ac:dyDescent="0.25">
      <c r="B59" s="42"/>
      <c r="C59" s="41"/>
      <c r="D59" s="301"/>
      <c r="E59" s="298"/>
      <c r="F59" s="299"/>
      <c r="G59" s="34"/>
    </row>
    <row r="60" spans="2:8" x14ac:dyDescent="0.25">
      <c r="B60" s="47" t="s">
        <v>98</v>
      </c>
      <c r="C60" s="46">
        <f>8*2080*E22/(E5*1000)</f>
        <v>0.78305882352941181</v>
      </c>
      <c r="D60" s="297" t="s">
        <v>97</v>
      </c>
      <c r="E60" s="298"/>
      <c r="F60" s="299"/>
      <c r="G60" s="34"/>
    </row>
    <row r="61" spans="2:8" x14ac:dyDescent="0.25">
      <c r="B61" s="47" t="s">
        <v>96</v>
      </c>
      <c r="C61" s="46">
        <f>C37*0.015/(E6*E5*1000)</f>
        <v>4.4617235294117643</v>
      </c>
      <c r="D61" s="297" t="s">
        <v>95</v>
      </c>
      <c r="E61" s="298"/>
      <c r="F61" s="299"/>
      <c r="G61" s="34"/>
    </row>
    <row r="62" spans="2:8" x14ac:dyDescent="0.25">
      <c r="B62" s="47" t="s">
        <v>94</v>
      </c>
      <c r="C62" s="46">
        <f>0.03*(C60+0.4*C61)</f>
        <v>7.7032447058823519E-2</v>
      </c>
      <c r="D62" s="297" t="s">
        <v>93</v>
      </c>
      <c r="E62" s="298"/>
      <c r="F62" s="299"/>
      <c r="G62" s="34"/>
    </row>
    <row r="63" spans="2:8" x14ac:dyDescent="0.25">
      <c r="B63" s="47"/>
      <c r="C63" s="46"/>
      <c r="D63" s="301"/>
      <c r="E63" s="298"/>
      <c r="F63" s="299"/>
      <c r="G63" s="34"/>
    </row>
    <row r="64" spans="2:8" x14ac:dyDescent="0.25">
      <c r="B64" s="45" t="s">
        <v>92</v>
      </c>
      <c r="C64" s="43">
        <f>SUM(C60:C62)</f>
        <v>5.3218147999999994</v>
      </c>
      <c r="D64" s="297" t="s">
        <v>91</v>
      </c>
      <c r="E64" s="298"/>
      <c r="F64" s="299"/>
      <c r="G64" s="34"/>
    </row>
    <row r="65" spans="1:8" s="29" customFormat="1" x14ac:dyDescent="0.25">
      <c r="B65" s="42"/>
      <c r="C65" s="46"/>
      <c r="D65" s="301"/>
      <c r="E65" s="298"/>
      <c r="F65" s="299"/>
      <c r="G65" s="34"/>
      <c r="H65" s="25"/>
    </row>
    <row r="66" spans="1:8" x14ac:dyDescent="0.25">
      <c r="B66" s="48" t="s">
        <v>90</v>
      </c>
      <c r="C66" s="46"/>
      <c r="D66" s="301"/>
      <c r="E66" s="298"/>
      <c r="F66" s="299"/>
      <c r="G66" s="34"/>
    </row>
    <row r="67" spans="1:8" x14ac:dyDescent="0.25">
      <c r="B67" s="42"/>
      <c r="C67" s="46"/>
      <c r="D67" s="301"/>
      <c r="E67" s="298"/>
      <c r="F67" s="299"/>
      <c r="G67" s="34"/>
    </row>
    <row r="68" spans="1:8" x14ac:dyDescent="0.25">
      <c r="B68" s="47" t="s">
        <v>89</v>
      </c>
      <c r="C68" s="46">
        <f>E14*E18/E5*E13/95</f>
        <v>0.52070442194281252</v>
      </c>
      <c r="D68" s="297" t="s">
        <v>88</v>
      </c>
      <c r="E68" s="298"/>
      <c r="F68" s="299"/>
      <c r="G68" s="34"/>
    </row>
    <row r="69" spans="1:8" x14ac:dyDescent="0.25">
      <c r="B69" s="47" t="s">
        <v>87</v>
      </c>
      <c r="C69" s="46">
        <f>E15*E19/E5*E13/95</f>
        <v>9.5502384384012803E-2</v>
      </c>
      <c r="D69" s="297" t="s">
        <v>86</v>
      </c>
      <c r="E69" s="298"/>
      <c r="F69" s="299"/>
      <c r="G69" s="34"/>
    </row>
    <row r="70" spans="1:8" ht="75" x14ac:dyDescent="0.25">
      <c r="B70" s="47" t="s">
        <v>85</v>
      </c>
      <c r="C70" s="46">
        <f>IF(B16="Include Aux Power in VOM",E16*E20*10,"")</f>
        <v>0.69342364428239589</v>
      </c>
      <c r="D70" s="297" t="s">
        <v>84</v>
      </c>
      <c r="E70" s="298"/>
      <c r="F70" s="299"/>
      <c r="G70" s="34" t="s">
        <v>83</v>
      </c>
    </row>
    <row r="71" spans="1:8" x14ac:dyDescent="0.25">
      <c r="B71" s="47" t="s">
        <v>82</v>
      </c>
      <c r="C71" s="46">
        <f>E17*E21/E5</f>
        <v>5.7777249332454164E-2</v>
      </c>
      <c r="D71" s="297" t="s">
        <v>81</v>
      </c>
      <c r="E71" s="298"/>
      <c r="F71" s="299"/>
      <c r="G71" s="34"/>
    </row>
    <row r="72" spans="1:8" x14ac:dyDescent="0.25">
      <c r="B72" s="47"/>
      <c r="C72" s="46"/>
      <c r="D72" s="301"/>
      <c r="E72" s="298"/>
      <c r="F72" s="299"/>
      <c r="G72" s="34"/>
    </row>
    <row r="73" spans="1:8" x14ac:dyDescent="0.25">
      <c r="B73" s="45" t="s">
        <v>80</v>
      </c>
      <c r="C73" s="43">
        <f>SUM(C68:C71)</f>
        <v>1.3674076999416755</v>
      </c>
      <c r="D73" s="297" t="s">
        <v>79</v>
      </c>
      <c r="E73" s="298"/>
      <c r="F73" s="298"/>
      <c r="G73" s="34"/>
    </row>
    <row r="74" spans="1:8" s="29" customFormat="1" x14ac:dyDescent="0.25">
      <c r="B74" s="45"/>
      <c r="C74" s="43"/>
      <c r="D74" s="301"/>
      <c r="E74" s="298"/>
      <c r="F74" s="298"/>
      <c r="G74" s="34"/>
      <c r="H74" s="25"/>
    </row>
    <row r="75" spans="1:8" x14ac:dyDescent="0.25">
      <c r="B75" s="44" t="s">
        <v>78</v>
      </c>
      <c r="C75" s="43"/>
      <c r="D75" s="302"/>
      <c r="E75" s="298"/>
      <c r="F75" s="298"/>
      <c r="G75" s="34"/>
    </row>
    <row r="76" spans="1:8" x14ac:dyDescent="0.25">
      <c r="A76" s="29"/>
      <c r="B76" s="42"/>
      <c r="C76" s="41"/>
      <c r="D76" s="301"/>
      <c r="E76" s="298"/>
      <c r="F76" s="298"/>
      <c r="G76" s="34"/>
    </row>
    <row r="77" spans="1:8" ht="34.15" customHeight="1" x14ac:dyDescent="0.25">
      <c r="A77" s="29"/>
      <c r="B77" s="36" t="s">
        <v>77</v>
      </c>
      <c r="C77" s="39">
        <f>C45</f>
        <v>328680000</v>
      </c>
      <c r="D77" s="305" t="s">
        <v>76</v>
      </c>
      <c r="E77" s="298"/>
      <c r="F77" s="298"/>
      <c r="G77" s="34"/>
    </row>
    <row r="78" spans="1:8" x14ac:dyDescent="0.25">
      <c r="A78" s="29"/>
      <c r="B78" s="36" t="s">
        <v>75</v>
      </c>
      <c r="C78" s="40">
        <f>(E24/100*((1+E24/100)^30))/((1+E24/100)^E25-1)</f>
        <v>8.0586403511111196E-2</v>
      </c>
      <c r="D78" s="301"/>
      <c r="E78" s="298"/>
      <c r="F78" s="298"/>
      <c r="G78" s="34"/>
    </row>
    <row r="79" spans="1:8" x14ac:dyDescent="0.25">
      <c r="A79" s="29"/>
      <c r="B79" s="36" t="s">
        <v>74</v>
      </c>
      <c r="C79" s="39">
        <f>C78*C77</f>
        <v>26487139.106032029</v>
      </c>
      <c r="D79" s="301"/>
      <c r="E79" s="298"/>
      <c r="F79" s="298"/>
      <c r="G79" s="34"/>
    </row>
    <row r="80" spans="1:8" x14ac:dyDescent="0.25">
      <c r="A80" s="29"/>
      <c r="B80" s="36" t="s">
        <v>73</v>
      </c>
      <c r="C80" s="39">
        <f>C73*E26</f>
        <v>8581744.2311222851</v>
      </c>
      <c r="D80" s="297" t="s">
        <v>72</v>
      </c>
      <c r="E80" s="298"/>
      <c r="F80" s="298"/>
      <c r="G80" s="34"/>
    </row>
    <row r="81" spans="1:7" s="24" customFormat="1" x14ac:dyDescent="0.25">
      <c r="A81" s="29"/>
      <c r="B81" s="36" t="s">
        <v>71</v>
      </c>
      <c r="C81" s="39">
        <f>C64*E26*1000/8760</f>
        <v>3812704.9340026681</v>
      </c>
      <c r="D81" s="297" t="s">
        <v>70</v>
      </c>
      <c r="E81" s="298"/>
      <c r="F81" s="298"/>
      <c r="G81" s="34"/>
    </row>
    <row r="82" spans="1:7" s="24" customFormat="1" x14ac:dyDescent="0.25">
      <c r="A82" s="29"/>
      <c r="B82" s="38" t="s">
        <v>69</v>
      </c>
      <c r="C82" s="37">
        <f>SUM(C79:C81)</f>
        <v>38881588.271156982</v>
      </c>
      <c r="D82" s="297"/>
      <c r="E82" s="298"/>
      <c r="F82" s="298"/>
      <c r="G82" s="34"/>
    </row>
    <row r="83" spans="1:7" s="24" customFormat="1" ht="32.65" customHeight="1" x14ac:dyDescent="0.25">
      <c r="A83" s="29"/>
      <c r="B83" s="36" t="s">
        <v>68</v>
      </c>
      <c r="C83" s="35" t="str">
        <f>IF(E27="N/A","N/A",E13/100*E27)</f>
        <v>N/A</v>
      </c>
      <c r="D83" s="297" t="s">
        <v>67</v>
      </c>
      <c r="E83" s="298"/>
      <c r="F83" s="298"/>
      <c r="G83" s="34"/>
    </row>
    <row r="84" spans="1:7" s="24" customFormat="1" ht="15.75" thickBot="1" x14ac:dyDescent="0.3">
      <c r="A84" s="29"/>
      <c r="B84" s="33" t="s">
        <v>66</v>
      </c>
      <c r="C84" s="32" t="str">
        <f>IF(C83="N/A","N/A",C82/C83)</f>
        <v>N/A</v>
      </c>
      <c r="D84" s="303"/>
      <c r="E84" s="304"/>
      <c r="F84" s="304"/>
      <c r="G84" s="31"/>
    </row>
    <row r="85" spans="1:7" s="24" customFormat="1" ht="15.75" thickTop="1" x14ac:dyDescent="0.25">
      <c r="A85" s="29"/>
      <c r="B85" s="29"/>
      <c r="C85" s="29"/>
      <c r="D85" s="30"/>
      <c r="E85" s="29"/>
      <c r="F85" s="28"/>
      <c r="G85" s="26"/>
    </row>
  </sheetData>
  <mergeCells count="57">
    <mergeCell ref="D82:F82"/>
    <mergeCell ref="D83:F83"/>
    <mergeCell ref="D84:F84"/>
    <mergeCell ref="D76:F76"/>
    <mergeCell ref="D77:F77"/>
    <mergeCell ref="D78:F78"/>
    <mergeCell ref="D79:F79"/>
    <mergeCell ref="D80:F80"/>
    <mergeCell ref="D81:F81"/>
    <mergeCell ref="D75:F75"/>
    <mergeCell ref="D64:F64"/>
    <mergeCell ref="D65:F65"/>
    <mergeCell ref="D66:F66"/>
    <mergeCell ref="D67:F67"/>
    <mergeCell ref="D68:F68"/>
    <mergeCell ref="D69:F69"/>
    <mergeCell ref="D70:F70"/>
    <mergeCell ref="D71:F71"/>
    <mergeCell ref="D72:F72"/>
    <mergeCell ref="D73:F73"/>
    <mergeCell ref="D74:F74"/>
    <mergeCell ref="D63:F63"/>
    <mergeCell ref="D52:F52"/>
    <mergeCell ref="D53:F53"/>
    <mergeCell ref="D54:F54"/>
    <mergeCell ref="D55:F55"/>
    <mergeCell ref="D56:F56"/>
    <mergeCell ref="D57:F57"/>
    <mergeCell ref="D58:F58"/>
    <mergeCell ref="D59:F59"/>
    <mergeCell ref="D60:F60"/>
    <mergeCell ref="D61:F61"/>
    <mergeCell ref="D62:F62"/>
    <mergeCell ref="D51:F51"/>
    <mergeCell ref="D40:F40"/>
    <mergeCell ref="D41:F41"/>
    <mergeCell ref="D42:F42"/>
    <mergeCell ref="D43:F43"/>
    <mergeCell ref="D44:F44"/>
    <mergeCell ref="D45:F45"/>
    <mergeCell ref="D46:F46"/>
    <mergeCell ref="D47:F47"/>
    <mergeCell ref="D48:F48"/>
    <mergeCell ref="D49:F49"/>
    <mergeCell ref="D50:F50"/>
    <mergeCell ref="D39:F39"/>
    <mergeCell ref="I3:K3"/>
    <mergeCell ref="M4:P4"/>
    <mergeCell ref="B29:F29"/>
    <mergeCell ref="D31:F31"/>
    <mergeCell ref="D32:F32"/>
    <mergeCell ref="D33:F33"/>
    <mergeCell ref="D34:F34"/>
    <mergeCell ref="D35:F35"/>
    <mergeCell ref="D36:F36"/>
    <mergeCell ref="D37:F37"/>
    <mergeCell ref="D38:F38"/>
  </mergeCells>
  <dataValidations count="5">
    <dataValidation type="list" allowBlank="1" showInputMessage="1" showErrorMessage="1" error="Click Cancel and use one of the values in the drop down list " sqref="B16">
      <formula1>$N$5:$O$5</formula1>
    </dataValidation>
    <dataValidation type="decimal" operator="lessThanOrEqual" allowBlank="1" showInputMessage="1" showErrorMessage="1" error="Must be less than 3.0 Lbs/MMBtu.  Click Cancel and try again" sqref="E8">
      <formula1>3</formula1>
    </dataValidation>
    <dataValidation type="decimal" operator="greaterThan" allowBlank="1" showInputMessage="1" showErrorMessage="1" error="Must be greater than 50 MW.  Click Cancel and try again" sqref="E5">
      <formula1>50</formula1>
    </dataValidation>
    <dataValidation type="list" operator="lessThanOrEqual" allowBlank="1" showInputMessage="1" showErrorMessage="1" error="Must be BIT, PRB, or LIG.  Click Cancel and try again" sqref="E9">
      <formula1>$N$6:$P$6</formula1>
    </dataValidation>
    <dataValidation type="list" allowBlank="1" showInputMessage="1" showErrorMessage="1" sqref="B2">
      <formula1>$I$5:$I$20</formula1>
    </dataValidation>
  </dataValidations>
  <pageMargins left="0.75" right="0.75" top="1" bottom="1" header="0.5" footer="0.5"/>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zoomScale="70" zoomScaleNormal="70" workbookViewId="0">
      <pane xSplit="4" ySplit="1" topLeftCell="E2" activePane="bottomRight" state="frozen"/>
      <selection activeCell="A2" sqref="A2"/>
      <selection pane="topRight" activeCell="A2" sqref="A2"/>
      <selection pane="bottomLeft" activeCell="A2" sqref="A2"/>
      <selection pane="bottomRight" activeCell="H11" sqref="H11"/>
    </sheetView>
  </sheetViews>
  <sheetFormatPr defaultColWidth="8.7109375" defaultRowHeight="15.75" x14ac:dyDescent="0.25"/>
  <cols>
    <col min="1" max="10" width="8.7109375" style="3"/>
    <col min="11" max="11" width="12.42578125" style="3" customWidth="1"/>
    <col min="12" max="12" width="11.42578125" style="3" customWidth="1"/>
    <col min="13" max="13" width="10.85546875" style="3" customWidth="1"/>
    <col min="14" max="15" width="11.42578125" style="3" customWidth="1"/>
    <col min="16" max="17" width="11.28515625" style="3" customWidth="1"/>
    <col min="18" max="16384" width="8.7109375" style="3"/>
  </cols>
  <sheetData>
    <row r="1" spans="1:31" ht="150" x14ac:dyDescent="0.25">
      <c r="A1" s="15" t="s">
        <v>58</v>
      </c>
      <c r="B1" s="15" t="s">
        <v>57</v>
      </c>
      <c r="C1" s="15" t="s">
        <v>56</v>
      </c>
      <c r="D1" s="15" t="s">
        <v>55</v>
      </c>
      <c r="E1" s="21" t="s">
        <v>54</v>
      </c>
      <c r="F1" s="21"/>
      <c r="G1" s="23" t="s">
        <v>53</v>
      </c>
      <c r="H1" s="22" t="s">
        <v>52</v>
      </c>
      <c r="I1" s="15" t="s">
        <v>51</v>
      </c>
      <c r="J1" s="21" t="s">
        <v>50</v>
      </c>
      <c r="K1" s="21" t="s">
        <v>49</v>
      </c>
      <c r="L1" s="21" t="s">
        <v>48</v>
      </c>
      <c r="M1" s="15" t="s">
        <v>47</v>
      </c>
      <c r="N1" s="21" t="s">
        <v>46</v>
      </c>
      <c r="O1" s="20" t="s">
        <v>45</v>
      </c>
      <c r="P1" s="18" t="s">
        <v>44</v>
      </c>
      <c r="Q1" s="19" t="s">
        <v>43</v>
      </c>
      <c r="R1" s="17" t="s">
        <v>42</v>
      </c>
      <c r="S1" s="18" t="s">
        <v>41</v>
      </c>
      <c r="T1" s="17" t="s">
        <v>40</v>
      </c>
      <c r="U1" s="16" t="s">
        <v>39</v>
      </c>
      <c r="V1" s="15" t="s">
        <v>38</v>
      </c>
      <c r="W1" s="15" t="s">
        <v>37</v>
      </c>
      <c r="X1" s="15" t="s">
        <v>36</v>
      </c>
      <c r="Y1" s="15" t="s">
        <v>35</v>
      </c>
      <c r="Z1" s="15" t="s">
        <v>34</v>
      </c>
      <c r="AA1" s="15" t="s">
        <v>33</v>
      </c>
      <c r="AB1" s="15" t="s">
        <v>32</v>
      </c>
      <c r="AC1" s="15" t="s">
        <v>31</v>
      </c>
      <c r="AD1" s="15" t="s">
        <v>30</v>
      </c>
      <c r="AE1" s="15" t="s">
        <v>29</v>
      </c>
    </row>
    <row r="2" spans="1:31" x14ac:dyDescent="0.25">
      <c r="A2" s="8" t="s">
        <v>28</v>
      </c>
      <c r="B2" s="8">
        <v>6641</v>
      </c>
      <c r="C2" s="8">
        <v>1</v>
      </c>
      <c r="D2" s="8">
        <v>2009</v>
      </c>
      <c r="E2" s="13">
        <v>12254.111999999999</v>
      </c>
      <c r="F2" s="10"/>
      <c r="G2" s="11"/>
      <c r="H2" s="9"/>
      <c r="I2" s="8">
        <v>0.247</v>
      </c>
      <c r="J2" s="13">
        <v>6610.4049999999997</v>
      </c>
      <c r="K2" s="13">
        <v>53166393.592</v>
      </c>
      <c r="L2" s="13">
        <v>7333.67</v>
      </c>
      <c r="M2" s="8">
        <v>12</v>
      </c>
      <c r="N2" s="13">
        <v>5395291.54</v>
      </c>
      <c r="O2" s="12"/>
      <c r="P2" s="11"/>
      <c r="Q2" s="14"/>
      <c r="R2" s="10">
        <f t="shared" ref="R2:R21" si="0">K2/N2*1000</f>
        <v>9854.2207029650162</v>
      </c>
      <c r="S2" s="11"/>
      <c r="T2" s="10"/>
      <c r="U2" s="14"/>
      <c r="V2" s="8" t="s">
        <v>28</v>
      </c>
      <c r="W2" s="8" t="s">
        <v>25</v>
      </c>
      <c r="X2" s="8" t="s">
        <v>24</v>
      </c>
      <c r="Y2" s="8" t="s">
        <v>23</v>
      </c>
      <c r="Z2" s="8" t="s">
        <v>22</v>
      </c>
      <c r="AA2" s="8"/>
      <c r="AB2" s="8" t="s">
        <v>21</v>
      </c>
      <c r="AC2" s="8" t="s">
        <v>20</v>
      </c>
      <c r="AD2" s="8">
        <v>35.673299999999998</v>
      </c>
      <c r="AE2" s="8">
        <v>-91.408299999999997</v>
      </c>
    </row>
    <row r="3" spans="1:31" x14ac:dyDescent="0.25">
      <c r="A3" s="8" t="s">
        <v>28</v>
      </c>
      <c r="B3" s="8">
        <v>6641</v>
      </c>
      <c r="C3" s="8">
        <v>1</v>
      </c>
      <c r="D3" s="8">
        <v>2010</v>
      </c>
      <c r="E3" s="13">
        <v>14916.687</v>
      </c>
      <c r="F3" s="10"/>
      <c r="G3" s="11"/>
      <c r="H3" s="9"/>
      <c r="I3" s="8">
        <v>0.24490000000000001</v>
      </c>
      <c r="J3" s="13">
        <v>7840.6819999999998</v>
      </c>
      <c r="K3" s="13">
        <v>63712503.744000003</v>
      </c>
      <c r="L3" s="13">
        <v>8372.26</v>
      </c>
      <c r="M3" s="8">
        <v>12</v>
      </c>
      <c r="N3" s="13">
        <v>6463749.6699999999</v>
      </c>
      <c r="O3" s="12"/>
      <c r="P3" s="11"/>
      <c r="Q3" s="14"/>
      <c r="R3" s="10">
        <f t="shared" si="0"/>
        <v>9856.8953002166618</v>
      </c>
      <c r="S3" s="11"/>
      <c r="T3" s="10"/>
      <c r="U3" s="14"/>
      <c r="V3" s="8" t="s">
        <v>28</v>
      </c>
      <c r="W3" s="8" t="s">
        <v>25</v>
      </c>
      <c r="X3" s="8" t="s">
        <v>24</v>
      </c>
      <c r="Y3" s="8" t="s">
        <v>23</v>
      </c>
      <c r="Z3" s="8" t="s">
        <v>22</v>
      </c>
      <c r="AA3" s="8"/>
      <c r="AB3" s="8" t="s">
        <v>21</v>
      </c>
      <c r="AC3" s="8" t="s">
        <v>20</v>
      </c>
      <c r="AD3" s="8">
        <v>35.673299999999998</v>
      </c>
      <c r="AE3" s="8">
        <v>-91.408299999999997</v>
      </c>
    </row>
    <row r="4" spans="1:31" x14ac:dyDescent="0.25">
      <c r="A4" s="8" t="s">
        <v>28</v>
      </c>
      <c r="B4" s="8">
        <v>6641</v>
      </c>
      <c r="C4" s="8">
        <v>1</v>
      </c>
      <c r="D4" s="8">
        <v>2011</v>
      </c>
      <c r="E4" s="13">
        <v>15307.855</v>
      </c>
      <c r="F4" s="10"/>
      <c r="G4" s="11"/>
      <c r="H4" s="9"/>
      <c r="I4" s="8">
        <v>0.2442</v>
      </c>
      <c r="J4" s="13">
        <v>7013.3109999999997</v>
      </c>
      <c r="K4" s="13">
        <v>57172444.204999998</v>
      </c>
      <c r="L4" s="13">
        <v>7816.33</v>
      </c>
      <c r="M4" s="8">
        <v>12</v>
      </c>
      <c r="N4" s="13">
        <v>5805478.4699999997</v>
      </c>
      <c r="O4" s="12"/>
      <c r="P4" s="11"/>
      <c r="Q4" s="14"/>
      <c r="R4" s="10">
        <f t="shared" si="0"/>
        <v>9848.0158871384119</v>
      </c>
      <c r="S4" s="11"/>
      <c r="T4" s="10"/>
      <c r="U4" s="14"/>
      <c r="V4" s="8" t="s">
        <v>28</v>
      </c>
      <c r="W4" s="8" t="s">
        <v>25</v>
      </c>
      <c r="X4" s="8" t="s">
        <v>24</v>
      </c>
      <c r="Y4" s="8" t="s">
        <v>23</v>
      </c>
      <c r="Z4" s="8" t="s">
        <v>22</v>
      </c>
      <c r="AA4" s="8"/>
      <c r="AB4" s="8" t="s">
        <v>21</v>
      </c>
      <c r="AC4" s="8" t="s">
        <v>20</v>
      </c>
      <c r="AD4" s="8">
        <v>35.673299999999998</v>
      </c>
      <c r="AE4" s="8">
        <v>-91.408299999999997</v>
      </c>
    </row>
    <row r="5" spans="1:31" x14ac:dyDescent="0.25">
      <c r="A5" s="8" t="s">
        <v>28</v>
      </c>
      <c r="B5" s="8">
        <v>6641</v>
      </c>
      <c r="C5" s="8">
        <v>1</v>
      </c>
      <c r="D5" s="8">
        <v>2012</v>
      </c>
      <c r="E5" s="13">
        <v>16232.508</v>
      </c>
      <c r="F5" s="10"/>
      <c r="G5" s="11"/>
      <c r="H5" s="9"/>
      <c r="I5" s="8">
        <v>0.1968</v>
      </c>
      <c r="J5" s="13">
        <v>5364.48</v>
      </c>
      <c r="K5" s="13">
        <v>55348315.806000002</v>
      </c>
      <c r="L5" s="13">
        <v>8481.7000000000007</v>
      </c>
      <c r="M5" s="8">
        <v>12</v>
      </c>
      <c r="N5" s="13">
        <v>5513571</v>
      </c>
      <c r="O5" s="12"/>
      <c r="P5" s="11"/>
      <c r="Q5" s="9"/>
      <c r="R5" s="10">
        <f t="shared" si="0"/>
        <v>10038.560454921138</v>
      </c>
      <c r="S5" s="11"/>
      <c r="T5" s="10"/>
      <c r="U5" s="9"/>
      <c r="V5" s="8" t="s">
        <v>28</v>
      </c>
      <c r="W5" s="8" t="s">
        <v>25</v>
      </c>
      <c r="X5" s="8" t="s">
        <v>24</v>
      </c>
      <c r="Y5" s="8" t="s">
        <v>23</v>
      </c>
      <c r="Z5" s="8" t="s">
        <v>22</v>
      </c>
      <c r="AA5" s="8"/>
      <c r="AB5" s="8" t="s">
        <v>21</v>
      </c>
      <c r="AC5" s="8" t="s">
        <v>20</v>
      </c>
      <c r="AD5" s="8">
        <v>35.673299999999998</v>
      </c>
      <c r="AE5" s="8">
        <v>-91.408299999999997</v>
      </c>
    </row>
    <row r="6" spans="1:31" x14ac:dyDescent="0.25">
      <c r="A6" s="8" t="s">
        <v>28</v>
      </c>
      <c r="B6" s="8">
        <v>6641</v>
      </c>
      <c r="C6" s="8">
        <v>1</v>
      </c>
      <c r="D6" s="8">
        <v>2013</v>
      </c>
      <c r="E6" s="13">
        <v>12581.188</v>
      </c>
      <c r="F6" s="10">
        <f>AVERAGE(E2:E6)</f>
        <v>14258.469999999998</v>
      </c>
      <c r="G6" s="11">
        <f>MAX(E2:E6)</f>
        <v>16232.508</v>
      </c>
      <c r="H6" s="9">
        <f>(SUM(E2:E6)-MAX(E2:E6)-MIN(E2:E6))/3</f>
        <v>14268.576666666662</v>
      </c>
      <c r="I6" s="8">
        <v>0.20749999999999999</v>
      </c>
      <c r="J6" s="13">
        <v>4737.4740000000002</v>
      </c>
      <c r="K6" s="13">
        <v>45732632.490999997</v>
      </c>
      <c r="L6" s="13">
        <v>7246.08</v>
      </c>
      <c r="M6" s="8">
        <v>12</v>
      </c>
      <c r="N6" s="13">
        <v>4847543.25</v>
      </c>
      <c r="O6" s="12">
        <f>AVERAGE(N2:N6)</f>
        <v>5605126.7860000003</v>
      </c>
      <c r="P6" s="11">
        <f>MAX(N2:N6)</f>
        <v>6463749.6699999999</v>
      </c>
      <c r="Q6" s="9">
        <f>(SUM(N2:N6)-MAX(N2:N6)-MIN(N2:N6))/3</f>
        <v>5571447.0033333329</v>
      </c>
      <c r="R6" s="10">
        <f t="shared" si="0"/>
        <v>9434.1876147262847</v>
      </c>
      <c r="S6" s="11">
        <f>MAX(R2:R6)</f>
        <v>10038.560454921138</v>
      </c>
      <c r="T6" s="10">
        <f>AVERAGE(R2:R6)</f>
        <v>9806.3759919935019</v>
      </c>
      <c r="U6" s="9">
        <f>(SUM(R2:R6)-MAX(R2:R6)-MIN(R2:R6))/3</f>
        <v>9853.0439634400282</v>
      </c>
      <c r="V6" s="8" t="s">
        <v>28</v>
      </c>
      <c r="W6" s="8" t="s">
        <v>25</v>
      </c>
      <c r="X6" s="8" t="s">
        <v>24</v>
      </c>
      <c r="Y6" s="8" t="s">
        <v>23</v>
      </c>
      <c r="Z6" s="8" t="s">
        <v>22</v>
      </c>
      <c r="AA6" s="8"/>
      <c r="AB6" s="8" t="s">
        <v>21</v>
      </c>
      <c r="AC6" s="8" t="s">
        <v>20</v>
      </c>
      <c r="AD6" s="8">
        <v>35.673299999999998</v>
      </c>
      <c r="AE6" s="8">
        <v>-91.408299999999997</v>
      </c>
    </row>
    <row r="7" spans="1:31" x14ac:dyDescent="0.25">
      <c r="A7" s="8" t="s">
        <v>28</v>
      </c>
      <c r="B7" s="8">
        <v>6641</v>
      </c>
      <c r="C7" s="8">
        <v>2</v>
      </c>
      <c r="D7" s="8">
        <v>2009</v>
      </c>
      <c r="E7" s="13">
        <v>15171.182000000001</v>
      </c>
      <c r="F7" s="10"/>
      <c r="G7" s="11"/>
      <c r="H7" s="9"/>
      <c r="I7" s="8">
        <v>0.23810000000000001</v>
      </c>
      <c r="J7" s="13">
        <v>7727.701</v>
      </c>
      <c r="K7" s="13">
        <v>64649132.487999998</v>
      </c>
      <c r="L7" s="13">
        <v>8169.31</v>
      </c>
      <c r="M7" s="8">
        <v>12</v>
      </c>
      <c r="N7" s="13">
        <v>6525058.1799999997</v>
      </c>
      <c r="O7" s="12"/>
      <c r="P7" s="11"/>
      <c r="Q7" s="14"/>
      <c r="R7" s="10">
        <f t="shared" si="0"/>
        <v>9907.8246821088123</v>
      </c>
      <c r="S7" s="11"/>
      <c r="T7" s="10"/>
      <c r="U7" s="14"/>
      <c r="V7" s="8" t="s">
        <v>28</v>
      </c>
      <c r="W7" s="8" t="s">
        <v>25</v>
      </c>
      <c r="X7" s="8" t="s">
        <v>24</v>
      </c>
      <c r="Y7" s="8" t="s">
        <v>23</v>
      </c>
      <c r="Z7" s="8" t="s">
        <v>22</v>
      </c>
      <c r="AA7" s="8"/>
      <c r="AB7" s="8" t="s">
        <v>21</v>
      </c>
      <c r="AC7" s="8" t="s">
        <v>20</v>
      </c>
      <c r="AD7" s="8">
        <v>35.673299999999998</v>
      </c>
      <c r="AE7" s="8">
        <v>-91.408299999999997</v>
      </c>
    </row>
    <row r="8" spans="1:31" x14ac:dyDescent="0.25">
      <c r="A8" s="8" t="s">
        <v>28</v>
      </c>
      <c r="B8" s="8">
        <v>6641</v>
      </c>
      <c r="C8" s="8">
        <v>2</v>
      </c>
      <c r="D8" s="8">
        <v>2010</v>
      </c>
      <c r="E8" s="13">
        <v>13757.957</v>
      </c>
      <c r="F8" s="10"/>
      <c r="G8" s="11"/>
      <c r="H8" s="9"/>
      <c r="I8" s="8">
        <v>0.24610000000000001</v>
      </c>
      <c r="J8" s="13">
        <v>6777.9740000000002</v>
      </c>
      <c r="K8" s="13">
        <v>55125638.276000001</v>
      </c>
      <c r="L8" s="13">
        <v>7584.92</v>
      </c>
      <c r="M8" s="8">
        <v>12</v>
      </c>
      <c r="N8" s="13">
        <v>5953972.8499999996</v>
      </c>
      <c r="O8" s="12"/>
      <c r="P8" s="11"/>
      <c r="Q8" s="14"/>
      <c r="R8" s="10">
        <f t="shared" si="0"/>
        <v>9258.631113173451</v>
      </c>
      <c r="S8" s="11"/>
      <c r="T8" s="10"/>
      <c r="U8" s="14"/>
      <c r="V8" s="8" t="s">
        <v>28</v>
      </c>
      <c r="W8" s="8" t="s">
        <v>25</v>
      </c>
      <c r="X8" s="8" t="s">
        <v>24</v>
      </c>
      <c r="Y8" s="8" t="s">
        <v>23</v>
      </c>
      <c r="Z8" s="8" t="s">
        <v>22</v>
      </c>
      <c r="AA8" s="8"/>
      <c r="AB8" s="8" t="s">
        <v>21</v>
      </c>
      <c r="AC8" s="8" t="s">
        <v>20</v>
      </c>
      <c r="AD8" s="8">
        <v>35.673299999999998</v>
      </c>
      <c r="AE8" s="8">
        <v>-91.408299999999997</v>
      </c>
    </row>
    <row r="9" spans="1:31" x14ac:dyDescent="0.25">
      <c r="A9" s="8" t="s">
        <v>28</v>
      </c>
      <c r="B9" s="8">
        <v>6641</v>
      </c>
      <c r="C9" s="8">
        <v>2</v>
      </c>
      <c r="D9" s="8">
        <v>2011</v>
      </c>
      <c r="E9" s="13">
        <v>15090.108</v>
      </c>
      <c r="F9" s="10"/>
      <c r="G9" s="11"/>
      <c r="H9" s="9"/>
      <c r="I9" s="8">
        <v>0.22689999999999999</v>
      </c>
      <c r="J9" s="13">
        <v>6397.3680000000004</v>
      </c>
      <c r="K9" s="13">
        <v>56273139.990000002</v>
      </c>
      <c r="L9" s="13">
        <v>8024.15</v>
      </c>
      <c r="M9" s="8">
        <v>12</v>
      </c>
      <c r="N9" s="13">
        <v>5693302.4500000002</v>
      </c>
      <c r="O9" s="12"/>
      <c r="P9" s="11"/>
      <c r="Q9" s="14"/>
      <c r="R9" s="10">
        <f t="shared" si="0"/>
        <v>9884.0945978550644</v>
      </c>
      <c r="S9" s="11"/>
      <c r="T9" s="10"/>
      <c r="U9" s="14"/>
      <c r="V9" s="8" t="s">
        <v>28</v>
      </c>
      <c r="W9" s="8" t="s">
        <v>25</v>
      </c>
      <c r="X9" s="8" t="s">
        <v>24</v>
      </c>
      <c r="Y9" s="8" t="s">
        <v>23</v>
      </c>
      <c r="Z9" s="8" t="s">
        <v>22</v>
      </c>
      <c r="AA9" s="8"/>
      <c r="AB9" s="8" t="s">
        <v>21</v>
      </c>
      <c r="AC9" s="8" t="s">
        <v>20</v>
      </c>
      <c r="AD9" s="8">
        <v>35.673299999999998</v>
      </c>
      <c r="AE9" s="8">
        <v>-91.408299999999997</v>
      </c>
    </row>
    <row r="10" spans="1:31" x14ac:dyDescent="0.25">
      <c r="A10" s="8" t="s">
        <v>28</v>
      </c>
      <c r="B10" s="8">
        <v>6641</v>
      </c>
      <c r="C10" s="8">
        <v>2</v>
      </c>
      <c r="D10" s="8">
        <v>2012</v>
      </c>
      <c r="E10" s="13">
        <v>16741.241999999998</v>
      </c>
      <c r="F10" s="10"/>
      <c r="G10" s="11"/>
      <c r="H10" s="9"/>
      <c r="I10" s="8">
        <v>0.20119999999999999</v>
      </c>
      <c r="J10" s="13">
        <v>5702.2920000000004</v>
      </c>
      <c r="K10" s="13">
        <v>57205848.234999999</v>
      </c>
      <c r="L10" s="13">
        <v>7404.38</v>
      </c>
      <c r="M10" s="8">
        <v>12</v>
      </c>
      <c r="N10" s="13">
        <v>5385122.96</v>
      </c>
      <c r="O10" s="12"/>
      <c r="P10" s="11"/>
      <c r="Q10" s="9"/>
      <c r="R10" s="10">
        <f t="shared" si="0"/>
        <v>10622.941882649231</v>
      </c>
      <c r="S10" s="11"/>
      <c r="T10" s="10"/>
      <c r="U10" s="9"/>
      <c r="V10" s="8" t="s">
        <v>28</v>
      </c>
      <c r="W10" s="8" t="s">
        <v>25</v>
      </c>
      <c r="X10" s="8" t="s">
        <v>24</v>
      </c>
      <c r="Y10" s="8" t="s">
        <v>23</v>
      </c>
      <c r="Z10" s="8" t="s">
        <v>22</v>
      </c>
      <c r="AA10" s="8"/>
      <c r="AB10" s="8" t="s">
        <v>21</v>
      </c>
      <c r="AC10" s="8" t="s">
        <v>20</v>
      </c>
      <c r="AD10" s="8">
        <v>35.673299999999998</v>
      </c>
      <c r="AE10" s="8">
        <v>-91.408299999999997</v>
      </c>
    </row>
    <row r="11" spans="1:31" x14ac:dyDescent="0.25">
      <c r="A11" s="8" t="s">
        <v>28</v>
      </c>
      <c r="B11" s="8">
        <v>6641</v>
      </c>
      <c r="C11" s="8">
        <v>2</v>
      </c>
      <c r="D11" s="8">
        <v>2013</v>
      </c>
      <c r="E11" s="13">
        <v>16273.093999999999</v>
      </c>
      <c r="F11" s="10">
        <f>AVERAGE(E7:E11)</f>
        <v>15406.7166</v>
      </c>
      <c r="G11" s="11">
        <f>MAX(E7:E11)</f>
        <v>16741.241999999998</v>
      </c>
      <c r="H11" s="9">
        <f>(SUM(E7:E11)-MAX(E7:E11)-MIN(E7:E11))/3</f>
        <v>15511.461333333333</v>
      </c>
      <c r="I11" s="8">
        <v>0.20699999999999999</v>
      </c>
      <c r="J11" s="13">
        <v>5976.9290000000001</v>
      </c>
      <c r="K11" s="13">
        <v>58742728.755000003</v>
      </c>
      <c r="L11" s="13">
        <v>8436.8700000000008</v>
      </c>
      <c r="M11" s="8">
        <v>12</v>
      </c>
      <c r="N11" s="13">
        <v>6041306.5</v>
      </c>
      <c r="O11" s="12">
        <f>AVERAGE(N7:N11)</f>
        <v>5919752.5880000005</v>
      </c>
      <c r="P11" s="11">
        <f>MAX(N7:N11)</f>
        <v>6525058.1799999997</v>
      </c>
      <c r="Q11" s="9">
        <f>(SUM(N7:N11)-MAX(N7:N11)-MIN(N7:N11))/3</f>
        <v>5896193.9333333336</v>
      </c>
      <c r="R11" s="10">
        <f t="shared" si="0"/>
        <v>9723.5140701767086</v>
      </c>
      <c r="S11" s="11">
        <f>MAX(R7:R11)</f>
        <v>10622.941882649231</v>
      </c>
      <c r="T11" s="10">
        <f>AVERAGE(R7:R11)</f>
        <v>9879.4012691926546</v>
      </c>
      <c r="U11" s="9">
        <f>(SUM(R7:R11)-MAX(R7:R11)-MIN(R7:R11))/3</f>
        <v>9838.4777833801963</v>
      </c>
      <c r="V11" s="8" t="s">
        <v>28</v>
      </c>
      <c r="W11" s="8" t="s">
        <v>25</v>
      </c>
      <c r="X11" s="8" t="s">
        <v>24</v>
      </c>
      <c r="Y11" s="8" t="s">
        <v>23</v>
      </c>
      <c r="Z11" s="8" t="s">
        <v>22</v>
      </c>
      <c r="AA11" s="8"/>
      <c r="AB11" s="8" t="s">
        <v>21</v>
      </c>
      <c r="AC11" s="8" t="s">
        <v>20</v>
      </c>
      <c r="AD11" s="8">
        <v>35.673299999999998</v>
      </c>
      <c r="AE11" s="8">
        <v>-91.408299999999997</v>
      </c>
    </row>
    <row r="12" spans="1:31" x14ac:dyDescent="0.25">
      <c r="A12" s="8" t="s">
        <v>27</v>
      </c>
      <c r="B12" s="8">
        <v>6009</v>
      </c>
      <c r="C12" s="8">
        <v>1</v>
      </c>
      <c r="D12" s="8">
        <v>2009</v>
      </c>
      <c r="E12" s="13">
        <v>16280.78</v>
      </c>
      <c r="F12" s="10"/>
      <c r="G12" s="11"/>
      <c r="H12" s="9"/>
      <c r="I12" s="8">
        <v>0.24640000000000001</v>
      </c>
      <c r="J12" s="13">
        <v>6568.5240000000003</v>
      </c>
      <c r="K12" s="13">
        <v>52685717.338</v>
      </c>
      <c r="L12" s="13">
        <v>7193.29</v>
      </c>
      <c r="M12" s="8">
        <v>12</v>
      </c>
      <c r="N12" s="13">
        <v>5408275.96</v>
      </c>
      <c r="O12" s="12"/>
      <c r="P12" s="11"/>
      <c r="Q12" s="14"/>
      <c r="R12" s="10">
        <f t="shared" si="0"/>
        <v>9741.684360721858</v>
      </c>
      <c r="S12" s="11"/>
      <c r="T12" s="10"/>
      <c r="U12" s="14"/>
      <c r="V12" s="8" t="s">
        <v>26</v>
      </c>
      <c r="W12" s="8" t="s">
        <v>25</v>
      </c>
      <c r="X12" s="8" t="s">
        <v>24</v>
      </c>
      <c r="Y12" s="8" t="s">
        <v>23</v>
      </c>
      <c r="Z12" s="8" t="s">
        <v>22</v>
      </c>
      <c r="AA12" s="8"/>
      <c r="AB12" s="8" t="s">
        <v>21</v>
      </c>
      <c r="AC12" s="8" t="s">
        <v>20</v>
      </c>
      <c r="AD12" s="8">
        <v>34.4236</v>
      </c>
      <c r="AE12" s="8">
        <v>-92.139200000000002</v>
      </c>
    </row>
    <row r="13" spans="1:31" x14ac:dyDescent="0.25">
      <c r="A13" s="8" t="s">
        <v>27</v>
      </c>
      <c r="B13" s="8">
        <v>6009</v>
      </c>
      <c r="C13" s="8">
        <v>1</v>
      </c>
      <c r="D13" s="8">
        <v>2010</v>
      </c>
      <c r="E13" s="13">
        <v>15936.257</v>
      </c>
      <c r="F13" s="10"/>
      <c r="G13" s="11"/>
      <c r="H13" s="9"/>
      <c r="I13" s="8">
        <v>0.25009999999999999</v>
      </c>
      <c r="J13" s="13">
        <v>7926.6980000000003</v>
      </c>
      <c r="K13" s="13">
        <v>63178867.579000004</v>
      </c>
      <c r="L13" s="13">
        <v>8004.27</v>
      </c>
      <c r="M13" s="8">
        <v>12</v>
      </c>
      <c r="N13" s="13">
        <v>6275922.1200000001</v>
      </c>
      <c r="O13" s="12"/>
      <c r="P13" s="11"/>
      <c r="Q13" s="14"/>
      <c r="R13" s="10">
        <f t="shared" si="0"/>
        <v>10066.866090906813</v>
      </c>
      <c r="S13" s="11"/>
      <c r="T13" s="10"/>
      <c r="U13" s="14"/>
      <c r="V13" s="8" t="s">
        <v>26</v>
      </c>
      <c r="W13" s="8" t="s">
        <v>25</v>
      </c>
      <c r="X13" s="8" t="s">
        <v>24</v>
      </c>
      <c r="Y13" s="8" t="s">
        <v>23</v>
      </c>
      <c r="Z13" s="8" t="s">
        <v>22</v>
      </c>
      <c r="AA13" s="8"/>
      <c r="AB13" s="8" t="s">
        <v>21</v>
      </c>
      <c r="AC13" s="8" t="s">
        <v>20</v>
      </c>
      <c r="AD13" s="8">
        <v>34.4236</v>
      </c>
      <c r="AE13" s="8">
        <v>-92.139200000000002</v>
      </c>
    </row>
    <row r="14" spans="1:31" x14ac:dyDescent="0.25">
      <c r="A14" s="8" t="s">
        <v>27</v>
      </c>
      <c r="B14" s="8">
        <v>6009</v>
      </c>
      <c r="C14" s="8">
        <v>1</v>
      </c>
      <c r="D14" s="8">
        <v>2011</v>
      </c>
      <c r="E14" s="13">
        <v>15018.022000000001</v>
      </c>
      <c r="F14" s="10"/>
      <c r="G14" s="11"/>
      <c r="H14" s="9"/>
      <c r="I14" s="8">
        <v>0.27329999999999999</v>
      </c>
      <c r="J14" s="13">
        <v>7269.366</v>
      </c>
      <c r="K14" s="13">
        <v>52436173.443999998</v>
      </c>
      <c r="L14" s="13">
        <v>6886.84</v>
      </c>
      <c r="M14" s="8">
        <v>12</v>
      </c>
      <c r="N14" s="13">
        <v>4888905.49</v>
      </c>
      <c r="O14" s="12"/>
      <c r="P14" s="11"/>
      <c r="Q14" s="14"/>
      <c r="R14" s="10">
        <f t="shared" si="0"/>
        <v>10725.544511190785</v>
      </c>
      <c r="S14" s="11"/>
      <c r="T14" s="10"/>
      <c r="U14" s="14"/>
      <c r="V14" s="8" t="s">
        <v>26</v>
      </c>
      <c r="W14" s="8" t="s">
        <v>25</v>
      </c>
      <c r="X14" s="8" t="s">
        <v>24</v>
      </c>
      <c r="Y14" s="8" t="s">
        <v>23</v>
      </c>
      <c r="Z14" s="8" t="s">
        <v>22</v>
      </c>
      <c r="AA14" s="8"/>
      <c r="AB14" s="8" t="s">
        <v>21</v>
      </c>
      <c r="AC14" s="8" t="s">
        <v>20</v>
      </c>
      <c r="AD14" s="8">
        <v>34.4236</v>
      </c>
      <c r="AE14" s="8">
        <v>-92.139200000000002</v>
      </c>
    </row>
    <row r="15" spans="1:31" x14ac:dyDescent="0.25">
      <c r="A15" s="8" t="s">
        <v>27</v>
      </c>
      <c r="B15" s="8">
        <v>6009</v>
      </c>
      <c r="C15" s="8">
        <v>1</v>
      </c>
      <c r="D15" s="8">
        <v>2012</v>
      </c>
      <c r="E15" s="13">
        <v>15231.904</v>
      </c>
      <c r="F15" s="10"/>
      <c r="G15" s="11"/>
      <c r="H15" s="9"/>
      <c r="I15" s="8">
        <v>0.27050000000000002</v>
      </c>
      <c r="J15" s="13">
        <v>6890.7920000000004</v>
      </c>
      <c r="K15" s="13">
        <v>50688511.501000002</v>
      </c>
      <c r="L15" s="13">
        <v>7599.14</v>
      </c>
      <c r="M15" s="8">
        <v>12</v>
      </c>
      <c r="N15" s="13">
        <v>4710116.3499999996</v>
      </c>
      <c r="O15" s="12"/>
      <c r="P15" s="11"/>
      <c r="Q15" s="9"/>
      <c r="R15" s="10">
        <f t="shared" si="0"/>
        <v>10761.626196558818</v>
      </c>
      <c r="S15" s="11"/>
      <c r="T15" s="10"/>
      <c r="U15" s="9"/>
      <c r="V15" s="8" t="s">
        <v>26</v>
      </c>
      <c r="W15" s="8" t="s">
        <v>25</v>
      </c>
      <c r="X15" s="8" t="s">
        <v>24</v>
      </c>
      <c r="Y15" s="8" t="s">
        <v>23</v>
      </c>
      <c r="Z15" s="8" t="s">
        <v>22</v>
      </c>
      <c r="AA15" s="8"/>
      <c r="AB15" s="8" t="s">
        <v>21</v>
      </c>
      <c r="AC15" s="8" t="s">
        <v>20</v>
      </c>
      <c r="AD15" s="8">
        <v>34.4236</v>
      </c>
      <c r="AE15" s="8">
        <v>-92.139200000000002</v>
      </c>
    </row>
    <row r="16" spans="1:31" x14ac:dyDescent="0.25">
      <c r="A16" s="8" t="s">
        <v>27</v>
      </c>
      <c r="B16" s="8">
        <v>6009</v>
      </c>
      <c r="C16" s="8">
        <v>1</v>
      </c>
      <c r="D16" s="8">
        <v>2013</v>
      </c>
      <c r="E16" s="13">
        <v>17227.069</v>
      </c>
      <c r="F16" s="10">
        <f>AVERAGE(E12:E16)</f>
        <v>15938.806400000001</v>
      </c>
      <c r="G16" s="11">
        <f>MAX(E12:E16)</f>
        <v>17227.069</v>
      </c>
      <c r="H16" s="9">
        <f>(SUM(E12:E16)-MAX(E12:E16)-MIN(E12:E16))/3</f>
        <v>15816.313666666669</v>
      </c>
      <c r="I16" s="8">
        <v>0.3039</v>
      </c>
      <c r="J16" s="13">
        <v>9243.9189999999999</v>
      </c>
      <c r="K16" s="13">
        <v>60158485.035999998</v>
      </c>
      <c r="L16" s="13">
        <v>7825.2</v>
      </c>
      <c r="M16" s="8">
        <v>12</v>
      </c>
      <c r="N16" s="13">
        <v>5585753.7300000004</v>
      </c>
      <c r="O16" s="12">
        <f>AVERAGE(N12:N16)</f>
        <v>5373794.7300000004</v>
      </c>
      <c r="P16" s="11">
        <f>MAX(N12:N16)</f>
        <v>6275922.1200000001</v>
      </c>
      <c r="Q16" s="9">
        <f>(SUM(N12:N16)-MAX(N12:N16)-MIN(N12:N16))/3</f>
        <v>5294311.7266666675</v>
      </c>
      <c r="R16" s="10">
        <f t="shared" si="0"/>
        <v>10769.985205917768</v>
      </c>
      <c r="S16" s="11">
        <f>MAX(R12:R16)</f>
        <v>10769.985205917768</v>
      </c>
      <c r="T16" s="10">
        <f>AVERAGE(R12:R16)</f>
        <v>10413.141273059209</v>
      </c>
      <c r="U16" s="9">
        <f>(SUM(R12:R16)-MAX(R12:R16)-MIN(R12:R16))/3</f>
        <v>10518.01226621881</v>
      </c>
      <c r="V16" s="8" t="s">
        <v>26</v>
      </c>
      <c r="W16" s="8" t="s">
        <v>25</v>
      </c>
      <c r="X16" s="8" t="s">
        <v>24</v>
      </c>
      <c r="Y16" s="8" t="s">
        <v>23</v>
      </c>
      <c r="Z16" s="8" t="s">
        <v>22</v>
      </c>
      <c r="AA16" s="8"/>
      <c r="AB16" s="8" t="s">
        <v>21</v>
      </c>
      <c r="AC16" s="8" t="s">
        <v>20</v>
      </c>
      <c r="AD16" s="8">
        <v>34.4236</v>
      </c>
      <c r="AE16" s="8">
        <v>-92.139200000000002</v>
      </c>
    </row>
    <row r="17" spans="1:31" x14ac:dyDescent="0.25">
      <c r="A17" s="8" t="s">
        <v>27</v>
      </c>
      <c r="B17" s="8">
        <v>6009</v>
      </c>
      <c r="C17" s="8">
        <v>2</v>
      </c>
      <c r="D17" s="8">
        <v>2009</v>
      </c>
      <c r="E17" s="13">
        <v>17551.02</v>
      </c>
      <c r="F17" s="10"/>
      <c r="G17" s="11"/>
      <c r="H17" s="9"/>
      <c r="I17" s="8">
        <v>0.27739999999999998</v>
      </c>
      <c r="J17" s="13">
        <v>7954.8410000000003</v>
      </c>
      <c r="K17" s="13">
        <v>56474071.880000003</v>
      </c>
      <c r="L17" s="13">
        <v>7610.45</v>
      </c>
      <c r="M17" s="8">
        <v>12</v>
      </c>
      <c r="N17" s="13">
        <v>5841825.6200000001</v>
      </c>
      <c r="O17" s="12"/>
      <c r="P17" s="11"/>
      <c r="Q17" s="14"/>
      <c r="R17" s="10">
        <f t="shared" si="0"/>
        <v>9667.1957626835156</v>
      </c>
      <c r="S17" s="11"/>
      <c r="T17" s="10"/>
      <c r="U17" s="14"/>
      <c r="V17" s="8" t="s">
        <v>26</v>
      </c>
      <c r="W17" s="8" t="s">
        <v>25</v>
      </c>
      <c r="X17" s="8" t="s">
        <v>24</v>
      </c>
      <c r="Y17" s="8" t="s">
        <v>23</v>
      </c>
      <c r="Z17" s="8" t="s">
        <v>22</v>
      </c>
      <c r="AA17" s="8"/>
      <c r="AB17" s="8" t="s">
        <v>21</v>
      </c>
      <c r="AC17" s="8" t="s">
        <v>20</v>
      </c>
      <c r="AD17" s="8">
        <v>34.4236</v>
      </c>
      <c r="AE17" s="8">
        <v>-92.139200000000002</v>
      </c>
    </row>
    <row r="18" spans="1:31" x14ac:dyDescent="0.25">
      <c r="A18" s="8" t="s">
        <v>27</v>
      </c>
      <c r="B18" s="8">
        <v>6009</v>
      </c>
      <c r="C18" s="8">
        <v>2</v>
      </c>
      <c r="D18" s="8">
        <v>2010</v>
      </c>
      <c r="E18" s="13">
        <v>12528.087</v>
      </c>
      <c r="F18" s="10"/>
      <c r="G18" s="11"/>
      <c r="H18" s="9"/>
      <c r="I18" s="8">
        <v>0.30990000000000001</v>
      </c>
      <c r="J18" s="13">
        <v>7879.7629999999999</v>
      </c>
      <c r="K18" s="13">
        <v>49581773.280000001</v>
      </c>
      <c r="L18" s="13">
        <v>6608.21</v>
      </c>
      <c r="M18" s="8">
        <v>12</v>
      </c>
      <c r="N18" s="13">
        <v>5130420.18</v>
      </c>
      <c r="O18" s="12"/>
      <c r="P18" s="11"/>
      <c r="Q18" s="14"/>
      <c r="R18" s="10">
        <f t="shared" si="0"/>
        <v>9664.2714515441512</v>
      </c>
      <c r="S18" s="11"/>
      <c r="T18" s="10"/>
      <c r="U18" s="14"/>
      <c r="V18" s="8" t="s">
        <v>26</v>
      </c>
      <c r="W18" s="8" t="s">
        <v>25</v>
      </c>
      <c r="X18" s="8" t="s">
        <v>24</v>
      </c>
      <c r="Y18" s="8" t="s">
        <v>23</v>
      </c>
      <c r="Z18" s="8" t="s">
        <v>22</v>
      </c>
      <c r="AA18" s="8"/>
      <c r="AB18" s="8" t="s">
        <v>21</v>
      </c>
      <c r="AC18" s="8" t="s">
        <v>20</v>
      </c>
      <c r="AD18" s="8">
        <v>34.4236</v>
      </c>
      <c r="AE18" s="8">
        <v>-92.139200000000002</v>
      </c>
    </row>
    <row r="19" spans="1:31" x14ac:dyDescent="0.25">
      <c r="A19" s="8" t="s">
        <v>27</v>
      </c>
      <c r="B19" s="8">
        <v>6009</v>
      </c>
      <c r="C19" s="8">
        <v>2</v>
      </c>
      <c r="D19" s="8">
        <v>2011</v>
      </c>
      <c r="E19" s="13">
        <v>16666.341</v>
      </c>
      <c r="F19" s="10"/>
      <c r="G19" s="11"/>
      <c r="H19" s="9"/>
      <c r="I19" s="8">
        <v>0.29480000000000001</v>
      </c>
      <c r="J19" s="13">
        <v>8743.32</v>
      </c>
      <c r="K19" s="13">
        <v>58613642.107000001</v>
      </c>
      <c r="L19" s="13">
        <v>7986.23</v>
      </c>
      <c r="M19" s="8">
        <v>12</v>
      </c>
      <c r="N19" s="13">
        <v>5937159.3300000001</v>
      </c>
      <c r="O19" s="12"/>
      <c r="P19" s="11"/>
      <c r="Q19" s="14"/>
      <c r="R19" s="10">
        <f t="shared" si="0"/>
        <v>9872.3377374816046</v>
      </c>
      <c r="S19" s="11"/>
      <c r="T19" s="10"/>
      <c r="U19" s="14"/>
      <c r="V19" s="8" t="s">
        <v>26</v>
      </c>
      <c r="W19" s="8" t="s">
        <v>25</v>
      </c>
      <c r="X19" s="8" t="s">
        <v>24</v>
      </c>
      <c r="Y19" s="8" t="s">
        <v>23</v>
      </c>
      <c r="Z19" s="8" t="s">
        <v>22</v>
      </c>
      <c r="AA19" s="8"/>
      <c r="AB19" s="8" t="s">
        <v>21</v>
      </c>
      <c r="AC19" s="8" t="s">
        <v>20</v>
      </c>
      <c r="AD19" s="8">
        <v>34.4236</v>
      </c>
      <c r="AE19" s="8">
        <v>-92.139200000000002</v>
      </c>
    </row>
    <row r="20" spans="1:31" x14ac:dyDescent="0.25">
      <c r="A20" s="8" t="s">
        <v>27</v>
      </c>
      <c r="B20" s="8">
        <v>6009</v>
      </c>
      <c r="C20" s="8">
        <v>2</v>
      </c>
      <c r="D20" s="8">
        <v>2012</v>
      </c>
      <c r="E20" s="13">
        <v>16455.259999999998</v>
      </c>
      <c r="F20" s="10"/>
      <c r="G20" s="11"/>
      <c r="H20" s="9"/>
      <c r="I20" s="8">
        <v>0.25969999999999999</v>
      </c>
      <c r="J20" s="13">
        <v>7344.8339999999998</v>
      </c>
      <c r="K20" s="13">
        <v>56244208.743000001</v>
      </c>
      <c r="L20" s="13">
        <v>7596.48</v>
      </c>
      <c r="M20" s="8">
        <v>12</v>
      </c>
      <c r="N20" s="13">
        <v>5210328.58</v>
      </c>
      <c r="O20" s="12"/>
      <c r="P20" s="11"/>
      <c r="Q20" s="9"/>
      <c r="R20" s="10">
        <f t="shared" si="0"/>
        <v>10794.75274532494</v>
      </c>
      <c r="S20" s="11"/>
      <c r="T20" s="10"/>
      <c r="U20" s="9"/>
      <c r="V20" s="8" t="s">
        <v>26</v>
      </c>
      <c r="W20" s="8" t="s">
        <v>25</v>
      </c>
      <c r="X20" s="8" t="s">
        <v>24</v>
      </c>
      <c r="Y20" s="8" t="s">
        <v>23</v>
      </c>
      <c r="Z20" s="8" t="s">
        <v>22</v>
      </c>
      <c r="AA20" s="8"/>
      <c r="AB20" s="8" t="s">
        <v>21</v>
      </c>
      <c r="AC20" s="8" t="s">
        <v>20</v>
      </c>
      <c r="AD20" s="8">
        <v>34.4236</v>
      </c>
      <c r="AE20" s="8">
        <v>-92.139200000000002</v>
      </c>
    </row>
    <row r="21" spans="1:31" x14ac:dyDescent="0.25">
      <c r="A21" s="8" t="s">
        <v>27</v>
      </c>
      <c r="B21" s="8">
        <v>6009</v>
      </c>
      <c r="C21" s="8">
        <v>2</v>
      </c>
      <c r="D21" s="8">
        <v>2013</v>
      </c>
      <c r="E21" s="13">
        <v>16969.187000000002</v>
      </c>
      <c r="F21" s="10">
        <f>AVERAGE(E17:E21)</f>
        <v>16033.979000000001</v>
      </c>
      <c r="G21" s="11">
        <f>MAX(E17:E21)</f>
        <v>17551.02</v>
      </c>
      <c r="H21" s="9">
        <f>(SUM(E17:E21)-MAX(E17:E21)-MIN(E17:E21))/3</f>
        <v>16696.929333333333</v>
      </c>
      <c r="I21" s="8">
        <v>0.29339999999999999</v>
      </c>
      <c r="J21" s="13">
        <v>8802.9249999999993</v>
      </c>
      <c r="K21" s="13">
        <v>59297615.240999997</v>
      </c>
      <c r="L21" s="13">
        <v>7612.16</v>
      </c>
      <c r="M21" s="8">
        <v>12</v>
      </c>
      <c r="N21" s="13">
        <v>5420970.1299999999</v>
      </c>
      <c r="O21" s="12">
        <f>AVERAGE(N17:N21)</f>
        <v>5508140.7680000002</v>
      </c>
      <c r="P21" s="11">
        <f>MAX(N17:N21)</f>
        <v>5937159.3300000001</v>
      </c>
      <c r="Q21" s="9">
        <f>(SUM(N17:N21)-MAX(N17:N21)-MIN(N17:N21))/3</f>
        <v>5491041.4433333324</v>
      </c>
      <c r="R21" s="10">
        <f t="shared" si="0"/>
        <v>10938.561515556625</v>
      </c>
      <c r="S21" s="11">
        <f>MAX(R17:R21)</f>
        <v>10938.561515556625</v>
      </c>
      <c r="T21" s="10">
        <f>AVERAGE(R17:R21)</f>
        <v>10187.423842518168</v>
      </c>
      <c r="U21" s="9">
        <f>(SUM(R17:R21)-MAX(R17:R21)-MIN(R17:R21))/3</f>
        <v>10111.428748496688</v>
      </c>
      <c r="V21" s="8" t="s">
        <v>26</v>
      </c>
      <c r="W21" s="8" t="s">
        <v>25</v>
      </c>
      <c r="X21" s="8" t="s">
        <v>24</v>
      </c>
      <c r="Y21" s="8" t="s">
        <v>23</v>
      </c>
      <c r="Z21" s="8" t="s">
        <v>22</v>
      </c>
      <c r="AA21" s="8"/>
      <c r="AB21" s="8" t="s">
        <v>21</v>
      </c>
      <c r="AC21" s="8" t="s">
        <v>20</v>
      </c>
      <c r="AD21" s="8">
        <v>34.4236</v>
      </c>
      <c r="AE21" s="8">
        <v>-92.139200000000002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A511AE712AED4BBE8BE1EDDA100EF6" ma:contentTypeVersion="6" ma:contentTypeDescription="Create a new document." ma:contentTypeScope="" ma:versionID="b13a504c0582c55eeb1afb73081d4e68">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6418781f-cc46-40e4-b612-10a9484df075" xmlns:ns6="45c1c26b-9b0b-4762-abaa-2b9df884d1b5" targetNamespace="http://schemas.microsoft.com/office/2006/metadata/properties" ma:root="true" ma:fieldsID="f5134b3228de41e30e5d34fadf07cffb" ns1:_="" ns2:_="" ns3:_="" ns4:_="" ns5:_="" ns6:_="">
    <xsd:import namespace="http://schemas.microsoft.com/sharepoint/v3"/>
    <xsd:import namespace="4ffa91fb-a0ff-4ac5-b2db-65c790d184a4"/>
    <xsd:import namespace="http://schemas.microsoft.com/sharepoint.v3"/>
    <xsd:import namespace="http://schemas.microsoft.com/sharepoint/v3/fields"/>
    <xsd:import namespace="6418781f-cc46-40e4-b612-10a9484df075"/>
    <xsd:import namespace="45c1c26b-9b0b-4762-abaa-2b9df884d1b5"/>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6: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3b49083f-3e1d-465f-a6e7-c9c77c10caed}" ma:internalName="TaxCatchAllLabel" ma:readOnly="true" ma:showField="CatchAllDataLabel" ma:web="6418781f-cc46-40e4-b612-10a9484df075">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3b49083f-3e1d-465f-a6e7-c9c77c10caed}" ma:internalName="TaxCatchAll" ma:showField="CatchAllData" ma:web="6418781f-cc46-40e4-b612-10a9484df075">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18781f-cc46-40e4-b612-10a9484df075"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c1c26b-9b0b-4762-abaa-2b9df884d1b5" elementFormDefault="qualified">
    <xsd:import namespace="http://schemas.microsoft.com/office/2006/documentManagement/types"/>
    <xsd:import namespace="http://schemas.microsoft.com/office/infopath/2007/PartnerControls"/>
    <xsd:element name="SharingHintHash" ma:index="30"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2015-02-20T21:53:04+00:00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C30D2377-52B8-44A6-A573-6DC45F2FF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6418781f-cc46-40e4-b612-10a9484df075"/>
    <ds:schemaRef ds:uri="45c1c26b-9b0b-4762-abaa-2b9df884d1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368325-2331-4E0B-BAA4-4949D3EEB082}">
  <ds:schemaRefs>
    <ds:schemaRef ds:uri="http://schemas.microsoft.com/sharepoint/v3/contenttype/forms"/>
  </ds:schemaRefs>
</ds:datastoreItem>
</file>

<file path=customXml/itemProps3.xml><?xml version="1.0" encoding="utf-8"?>
<ds:datastoreItem xmlns:ds="http://schemas.openxmlformats.org/officeDocument/2006/customXml" ds:itemID="{4D3FEFA1-57EB-4462-944D-0666599D1859}">
  <ds:schemaRefs>
    <ds:schemaRef ds:uri="Microsoft.SharePoint.Taxonomy.ContentTypeSync"/>
  </ds:schemaRefs>
</ds:datastoreItem>
</file>

<file path=customXml/itemProps4.xml><?xml version="1.0" encoding="utf-8"?>
<ds:datastoreItem xmlns:ds="http://schemas.openxmlformats.org/officeDocument/2006/customXml" ds:itemID="{7ACB900D-063F-4590-B991-E809BE333B4F}">
  <ds:schemaRefs>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45c1c26b-9b0b-4762-abaa-2b9df884d1b5"/>
    <ds:schemaRef ds:uri="4ffa91fb-a0ff-4ac5-b2db-65c790d184a4"/>
    <ds:schemaRef ds:uri="6418781f-cc46-40e4-b612-10a9484df075"/>
    <ds:schemaRef ds:uri="http://schemas.microsoft.com/office/2006/metadata/properties"/>
    <ds:schemaRef ds:uri="http://schemas.microsoft.com/sharepoint/v3/fields"/>
    <ds:schemaRef ds:uri="http://schemas.microsoft.com/office/2006/documentManagement/types"/>
    <ds:schemaRef ds:uri="http://schemas.microsoft.com/sharepoint.v3"/>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Read Me</vt:lpstr>
      <vt:lpstr>Source</vt:lpstr>
      <vt:lpstr>BOP </vt:lpstr>
      <vt:lpstr>Entergy Costs</vt:lpstr>
      <vt:lpstr>Cost Effectiveness</vt:lpstr>
      <vt:lpstr>$ per Deciview</vt:lpstr>
      <vt:lpstr> IPM WB 1 - 2 lb</vt:lpstr>
      <vt:lpstr> IPM WB 1 - 0.68 lb</vt:lpstr>
      <vt:lpstr>Annual Emissions</vt:lpstr>
      <vt:lpstr>Monthly Emissions</vt:lpstr>
      <vt:lpstr>' IPM WB 1 - 0.68 lb'!Print_Area</vt:lpstr>
      <vt:lpstr>' IPM WB 1 - 2 lb'!Print_Area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jkordzi</dc:creator>
  <cp:lastModifiedBy>Tricia Treece</cp:lastModifiedBy>
  <dcterms:created xsi:type="dcterms:W3CDTF">2015-01-28T20:17:44Z</dcterms:created>
  <dcterms:modified xsi:type="dcterms:W3CDTF">2017-10-26T14:56:42Z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0x01010069A511AE712AED4BBE8BE1EDDA100EF6</vt:lpwstr>
  </property>
</Properties>
</file>